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D13"/>
  <c r="AV13"/>
  <c r="AX13"/>
  <c r="AV4"/>
  <c r="AV5"/>
  <c r="AV6"/>
  <c r="AV7"/>
  <c r="AV8"/>
  <c r="AV9"/>
  <c r="AV10"/>
  <c r="AV11"/>
  <c r="AV12"/>
  <c r="AV3"/>
  <c r="AX5"/>
  <c r="AX4"/>
  <c r="B51"/>
  <c r="AX12"/>
  <c r="AX11"/>
  <c r="AX3"/>
  <c r="C37"/>
  <c r="C36"/>
  <c r="C29"/>
  <c r="C30"/>
  <c r="C28"/>
  <c r="AW12"/>
  <c r="AU12"/>
  <c r="AU13" s="1"/>
  <c r="AS12"/>
  <c r="AR12"/>
  <c r="AR13" s="1"/>
  <c r="AQ12"/>
  <c r="AP12"/>
  <c r="AT12" s="1"/>
  <c r="AO12"/>
  <c r="AN12"/>
  <c r="AU11"/>
  <c r="AW11" s="1"/>
  <c r="AS11"/>
  <c r="AR11"/>
  <c r="AQ11"/>
  <c r="AP11"/>
  <c r="AO11"/>
  <c r="AN11"/>
  <c r="AU10"/>
  <c r="AW10" s="1"/>
  <c r="AS10"/>
  <c r="AR10"/>
  <c r="AQ10"/>
  <c r="AP10"/>
  <c r="AT10" s="1"/>
  <c r="AO10"/>
  <c r="AN10"/>
  <c r="AU9"/>
  <c r="AW9" s="1"/>
  <c r="AS9"/>
  <c r="AR9"/>
  <c r="AQ9"/>
  <c r="AP9"/>
  <c r="AO9"/>
  <c r="AN9"/>
  <c r="AU8"/>
  <c r="AW8" s="1"/>
  <c r="AS8"/>
  <c r="AR8"/>
  <c r="AQ8"/>
  <c r="AP8"/>
  <c r="AT8" s="1"/>
  <c r="AO8"/>
  <c r="AN8"/>
  <c r="AU7"/>
  <c r="AW7" s="1"/>
  <c r="AS7"/>
  <c r="AR7"/>
  <c r="AQ7"/>
  <c r="AP7"/>
  <c r="AO7"/>
  <c r="AN7"/>
  <c r="AU6"/>
  <c r="AW6" s="1"/>
  <c r="AS6"/>
  <c r="AR6"/>
  <c r="AQ6"/>
  <c r="AP6"/>
  <c r="AT6" s="1"/>
  <c r="AO6"/>
  <c r="AN6"/>
  <c r="AU5"/>
  <c r="AS5"/>
  <c r="AR5"/>
  <c r="AQ5"/>
  <c r="AP5"/>
  <c r="AO5"/>
  <c r="AN5"/>
  <c r="AU4"/>
  <c r="AW4" s="1"/>
  <c r="AS4"/>
  <c r="AR4"/>
  <c r="AQ4"/>
  <c r="AP4"/>
  <c r="AT4" s="1"/>
  <c r="AO4"/>
  <c r="AN4"/>
  <c r="AU3"/>
  <c r="AW3" s="1"/>
  <c r="AS3"/>
  <c r="AR3"/>
  <c r="AQ3"/>
  <c r="AP3"/>
  <c r="AO3"/>
  <c r="AN3"/>
  <c r="AL12"/>
  <c r="AM12" s="1"/>
  <c r="AL11"/>
  <c r="AM11" s="1"/>
  <c r="AL10"/>
  <c r="AM10" s="1"/>
  <c r="AL9"/>
  <c r="AM9" s="1"/>
  <c r="AL8"/>
  <c r="AM8" s="1"/>
  <c r="AL7"/>
  <c r="AM7" s="1"/>
  <c r="AL6"/>
  <c r="AM6" s="1"/>
  <c r="AL5"/>
  <c r="AM5" s="1"/>
  <c r="AL4"/>
  <c r="AM4" s="1"/>
  <c r="AL3"/>
  <c r="AM3" s="1"/>
  <c r="AO13" l="1"/>
  <c r="AQ13"/>
  <c r="AS13"/>
  <c r="AW13"/>
  <c r="AN13"/>
  <c r="AT13"/>
  <c r="AP13"/>
  <c r="AM13"/>
  <c r="AT3"/>
  <c r="AT5"/>
  <c r="AT7"/>
  <c r="AT9"/>
  <c r="AT11"/>
  <c r="AW5"/>
  <c r="AY11"/>
  <c r="AZ11" s="1"/>
  <c r="AY9"/>
  <c r="AZ9" s="1"/>
  <c r="AY7"/>
  <c r="AZ7" s="1"/>
  <c r="AY5"/>
  <c r="AZ5" s="1"/>
  <c r="AY3"/>
  <c r="AY12"/>
  <c r="AY10"/>
  <c r="AY8"/>
  <c r="AY6"/>
  <c r="AY4"/>
  <c r="AZ4" s="1"/>
  <c r="BA4" s="1"/>
  <c r="AZ10"/>
  <c r="BA10" s="1"/>
  <c r="AZ8"/>
  <c r="BA8" s="1"/>
  <c r="AZ6"/>
  <c r="BA6" s="1"/>
  <c r="BA9"/>
  <c r="BA7"/>
  <c r="BA5"/>
  <c r="AZ12" l="1"/>
  <c r="AZ13" s="1"/>
  <c r="AY13"/>
  <c r="BA11"/>
  <c r="AZ3"/>
  <c r="BA3" s="1"/>
  <c r="BA12"/>
  <c r="BB4"/>
  <c r="BC4"/>
  <c r="BB8"/>
  <c r="BC8"/>
  <c r="BB6"/>
  <c r="BC6"/>
  <c r="BB10"/>
  <c r="BC10"/>
  <c r="BB5"/>
  <c r="BC5"/>
  <c r="BB9"/>
  <c r="BC9"/>
  <c r="BB7"/>
  <c r="BC7"/>
  <c r="BB11"/>
  <c r="BC11"/>
  <c r="BB12" l="1"/>
  <c r="BB13" s="1"/>
  <c r="BA13"/>
  <c r="BC12"/>
  <c r="BC13" s="1"/>
  <c r="BB3"/>
  <c r="BC3"/>
</calcChain>
</file>

<file path=xl/sharedStrings.xml><?xml version="1.0" encoding="utf-8"?>
<sst xmlns="http://schemas.openxmlformats.org/spreadsheetml/2006/main" count="170" uniqueCount="94">
  <si>
    <t xml:space="preserve">Май 2021 года </t>
  </si>
  <si>
    <t>Калинин.Р.В</t>
  </si>
  <si>
    <t>тд</t>
  </si>
  <si>
    <t>Зубкова.Т.Н</t>
  </si>
  <si>
    <t>пд</t>
  </si>
  <si>
    <t>Рыбакова.Е.М</t>
  </si>
  <si>
    <t>др</t>
  </si>
  <si>
    <t>Быкова.В.М</t>
  </si>
  <si>
    <t>-</t>
  </si>
  <si>
    <t>п</t>
  </si>
  <si>
    <t>Кузнецов.К.М</t>
  </si>
  <si>
    <t>и</t>
  </si>
  <si>
    <t>Федотова.В.Д</t>
  </si>
  <si>
    <t xml:space="preserve"> </t>
  </si>
  <si>
    <t>З</t>
  </si>
  <si>
    <t>Никулин.Р.В</t>
  </si>
  <si>
    <t>д</t>
  </si>
  <si>
    <t>Островский.В.Д</t>
  </si>
  <si>
    <t>б</t>
  </si>
  <si>
    <t>Белякова.В.И</t>
  </si>
  <si>
    <t>гб</t>
  </si>
  <si>
    <t>Медведева.Д.С</t>
  </si>
  <si>
    <t>дир</t>
  </si>
  <si>
    <t>Знак</t>
  </si>
  <si>
    <t>Название</t>
  </si>
  <si>
    <t>ч</t>
  </si>
  <si>
    <t>первая смена</t>
  </si>
  <si>
    <t>работал в дневную смену с 8 по 17</t>
  </si>
  <si>
    <t>вторая смена</t>
  </si>
  <si>
    <t>работал в ночную смену с 17 по 24</t>
  </si>
  <si>
    <t>замена</t>
  </si>
  <si>
    <t xml:space="preserve">работал, заменяя другого человеека или вышел подработать в выходной </t>
  </si>
  <si>
    <t>больничный</t>
  </si>
  <si>
    <t>работник ноходился на оплаченном больничном</t>
  </si>
  <si>
    <t>вых день</t>
  </si>
  <si>
    <t>работник отдыхал свой законный выходной или взял дополнительный выходной день или был в отпуске</t>
  </si>
  <si>
    <t>Стоим.часа:</t>
  </si>
  <si>
    <t>Технический директор</t>
  </si>
  <si>
    <t>Программный директор</t>
  </si>
  <si>
    <t xml:space="preserve">Директор по развитию </t>
  </si>
  <si>
    <t>Программист</t>
  </si>
  <si>
    <t>Инженер</t>
  </si>
  <si>
    <t>Звукорежиссер</t>
  </si>
  <si>
    <t>Диктор</t>
  </si>
  <si>
    <t>Бухгалтер</t>
  </si>
  <si>
    <t xml:space="preserve">Главный бухгалтер </t>
  </si>
  <si>
    <t>Директор</t>
  </si>
  <si>
    <t>z</t>
  </si>
  <si>
    <t>з</t>
  </si>
  <si>
    <t>Всего отработано смен</t>
  </si>
  <si>
    <t>Всего первых смен (ч)</t>
  </si>
  <si>
    <t>Всего вторых смен (ч)</t>
  </si>
  <si>
    <t>Всего замен (ч)</t>
  </si>
  <si>
    <t xml:space="preserve">Всего часов больн. </t>
  </si>
  <si>
    <t>П</t>
  </si>
  <si>
    <t>празник</t>
  </si>
  <si>
    <t xml:space="preserve">Всего праздни. часов </t>
  </si>
  <si>
    <t>Всего часов оплаты</t>
  </si>
  <si>
    <t>работал в праздики</t>
  </si>
  <si>
    <t>т</t>
  </si>
  <si>
    <t>Доплата за стаж</t>
  </si>
  <si>
    <t>Стаж (лет)</t>
  </si>
  <si>
    <t>Нарушений (кол-во)</t>
  </si>
  <si>
    <t>Н</t>
  </si>
  <si>
    <t>нарушения</t>
  </si>
  <si>
    <t>нарушение</t>
  </si>
  <si>
    <t xml:space="preserve">Премия за выполненный план выплачивается всем сотрудникам, которые участвовали в достижении плана, если выручка организации превзошла запланированную </t>
  </si>
  <si>
    <t>Премия за добросовестную работу выплачивается каждому сотруднику если нет нарушений и в организации не перешли порог недостачи</t>
  </si>
  <si>
    <t>Премия за добросовестную работнику</t>
  </si>
  <si>
    <t>Добросовестное выполнение</t>
  </si>
  <si>
    <t>Выполнение плана</t>
  </si>
  <si>
    <t>+</t>
  </si>
  <si>
    <t>Премия заза выполненный план работника</t>
  </si>
  <si>
    <t>План</t>
  </si>
  <si>
    <t>Порог недостачи:</t>
  </si>
  <si>
    <t>Факт:</t>
  </si>
  <si>
    <t>Премия</t>
  </si>
  <si>
    <t>Виды штрафа и премий</t>
  </si>
  <si>
    <t>Сумма</t>
  </si>
  <si>
    <t>Наименование</t>
  </si>
  <si>
    <t>Штраф</t>
  </si>
  <si>
    <t>Взыскания (руб.)</t>
  </si>
  <si>
    <t>Штраф за отсутсвие на рабочем месте (нарушение)</t>
  </si>
  <si>
    <t>Штраф за превышения порога недостатков</t>
  </si>
  <si>
    <t>Всего начислено</t>
  </si>
  <si>
    <t>Выручки (руб.)</t>
  </si>
  <si>
    <t>Аванс</t>
  </si>
  <si>
    <t>Под.налог</t>
  </si>
  <si>
    <t>К выдачи</t>
  </si>
  <si>
    <t>ЗП</t>
  </si>
  <si>
    <t>№ п/п</t>
  </si>
  <si>
    <t>Дата приема на работу</t>
  </si>
  <si>
    <t>Ф И О</t>
  </si>
  <si>
    <t>Итого человек в смене:</t>
  </si>
</sst>
</file>

<file path=xl/styles.xml><?xml version="1.0" encoding="utf-8"?>
<styleSheet xmlns="http://schemas.openxmlformats.org/spreadsheetml/2006/main">
  <numFmts count="3">
    <numFmt numFmtId="44" formatCode="_-* #,##0.00\ &quot;₽&quot;_-;\-* #,##0.00\ &quot;₽&quot;_-;_-* &quot;-&quot;??\ &quot;₽&quot;_-;_-@_-"/>
    <numFmt numFmtId="164" formatCode="#,##0.00\ &quot;₽&quot;"/>
    <numFmt numFmtId="165" formatCode="#,##0\ &quot;₽&quot;"/>
  </numFmts>
  <fonts count="1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333333"/>
      <name val="Consolas"/>
      <family val="3"/>
      <charset val="204"/>
    </font>
    <font>
      <sz val="14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444444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3D69B"/>
        <bgColor rgb="FFD7E4BD"/>
      </patternFill>
    </fill>
    <fill>
      <patternFill patternType="solid">
        <fgColor rgb="FF93CDDD"/>
        <bgColor rgb="FFCCCCFF"/>
      </patternFill>
    </fill>
    <fill>
      <patternFill patternType="solid">
        <fgColor rgb="FFFCD5B5"/>
        <bgColor rgb="FFD7E4BD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left" readingOrder="1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4" fontId="5" fillId="0" borderId="1" xfId="0" applyNumberFormat="1" applyFont="1" applyBorder="1"/>
    <xf numFmtId="0" fontId="5" fillId="4" borderId="1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/>
    <xf numFmtId="0" fontId="7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/>
    <xf numFmtId="0" fontId="6" fillId="0" borderId="6" xfId="0" applyFont="1" applyBorder="1"/>
    <xf numFmtId="14" fontId="8" fillId="0" borderId="1" xfId="0" applyNumberFormat="1" applyFont="1" applyBorder="1"/>
    <xf numFmtId="164" fontId="5" fillId="0" borderId="1" xfId="0" applyNumberFormat="1" applyFont="1" applyBorder="1"/>
    <xf numFmtId="165" fontId="5" fillId="0" borderId="1" xfId="0" applyNumberFormat="1" applyFont="1" applyBorder="1"/>
    <xf numFmtId="0" fontId="5" fillId="0" borderId="0" xfId="0" applyFont="1"/>
    <xf numFmtId="44" fontId="7" fillId="0" borderId="0" xfId="0" applyNumberFormat="1" applyFont="1"/>
    <xf numFmtId="44" fontId="7" fillId="0" borderId="1" xfId="0" applyNumberFormat="1" applyFont="1" applyBorder="1"/>
    <xf numFmtId="0" fontId="7" fillId="0" borderId="1" xfId="0" applyNumberFormat="1" applyFont="1" applyBorder="1"/>
    <xf numFmtId="165" fontId="7" fillId="0" borderId="1" xfId="0" applyNumberFormat="1" applyFont="1" applyBorder="1"/>
    <xf numFmtId="0" fontId="5" fillId="0" borderId="0" xfId="0" applyFont="1" applyFill="1" applyAlignment="1">
      <alignment horizontal="center"/>
    </xf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7" fillId="0" borderId="8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3"/>
      <rgbColor rgb="FF93CDDD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99FF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Лист1!$AX$1</c:f>
              <c:strCache>
                <c:ptCount val="1"/>
                <c:pt idx="0">
                  <c:v>Выручки (руб.)</c:v>
                </c:pt>
              </c:strCache>
            </c:strRef>
          </c:tx>
          <c:cat>
            <c:strRef>
              <c:f>Лист1!$C$3:$C$12</c:f>
              <c:strCache>
                <c:ptCount val="10"/>
                <c:pt idx="0">
                  <c:v>Калинин.Р.В</c:v>
                </c:pt>
                <c:pt idx="1">
                  <c:v>Зубкова.Т.Н</c:v>
                </c:pt>
                <c:pt idx="2">
                  <c:v>Рыбакова.Е.М</c:v>
                </c:pt>
                <c:pt idx="3">
                  <c:v>Быкова.В.М</c:v>
                </c:pt>
                <c:pt idx="4">
                  <c:v>Кузнецов.К.М</c:v>
                </c:pt>
                <c:pt idx="5">
                  <c:v>Федотова.В.Д</c:v>
                </c:pt>
                <c:pt idx="6">
                  <c:v>Никулин.Р.В</c:v>
                </c:pt>
                <c:pt idx="7">
                  <c:v>Островский.В.Д</c:v>
                </c:pt>
                <c:pt idx="8">
                  <c:v>Белякова.В.И</c:v>
                </c:pt>
                <c:pt idx="9">
                  <c:v>Медведева.Д.С</c:v>
                </c:pt>
              </c:strCache>
            </c:strRef>
          </c:cat>
          <c:val>
            <c:numRef>
              <c:f>Лист1!$AX$3:$AX$12</c:f>
              <c:numCache>
                <c:formatCode>#,##0\ "₽"</c:formatCode>
                <c:ptCount val="10"/>
                <c:pt idx="0">
                  <c:v>125389</c:v>
                </c:pt>
                <c:pt idx="1">
                  <c:v>125389</c:v>
                </c:pt>
                <c:pt idx="2">
                  <c:v>125389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125389</c:v>
                </c:pt>
                <c:pt idx="9">
                  <c:v>125389</c:v>
                </c:pt>
              </c:numCache>
            </c:numRef>
          </c:val>
        </c:ser>
        <c:axId val="67149824"/>
        <c:axId val="67151360"/>
      </c:barChart>
      <c:catAx>
        <c:axId val="67149824"/>
        <c:scaling>
          <c:orientation val="minMax"/>
        </c:scaling>
        <c:axPos val="l"/>
        <c:tickLblPos val="nextTo"/>
        <c:crossAx val="67151360"/>
        <c:crosses val="autoZero"/>
        <c:auto val="1"/>
        <c:lblAlgn val="ctr"/>
        <c:lblOffset val="100"/>
      </c:catAx>
      <c:valAx>
        <c:axId val="67151360"/>
        <c:scaling>
          <c:orientation val="minMax"/>
        </c:scaling>
        <c:axPos val="b"/>
        <c:majorGridlines/>
        <c:numFmt formatCode="#,##0\ &quot;₽&quot;" sourceLinked="1"/>
        <c:tickLblPos val="nextTo"/>
        <c:crossAx val="671498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Лист1!$A$13</c:f>
              <c:strCache>
                <c:ptCount val="1"/>
                <c:pt idx="0">
                  <c:v>Итого человек в смене:</c:v>
                </c:pt>
              </c:strCache>
            </c:strRef>
          </c:tx>
          <c:val>
            <c:numRef>
              <c:f>Лист1!$D$13:$AH$13</c:f>
              <c:numCache>
                <c:formatCode>General</c:formatCode>
                <c:ptCount val="31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10</c:v>
                </c:pt>
                <c:pt idx="10">
                  <c:v>5</c:v>
                </c:pt>
                <c:pt idx="11">
                  <c:v>11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7</c:v>
                </c:pt>
              </c:numCache>
            </c:numRef>
          </c:val>
        </c:ser>
        <c:axId val="67175552"/>
        <c:axId val="67177088"/>
      </c:barChart>
      <c:catAx>
        <c:axId val="67175552"/>
        <c:scaling>
          <c:orientation val="minMax"/>
        </c:scaling>
        <c:axPos val="b"/>
        <c:tickLblPos val="nextTo"/>
        <c:crossAx val="67177088"/>
        <c:crosses val="autoZero"/>
        <c:auto val="1"/>
        <c:lblAlgn val="ctr"/>
        <c:lblOffset val="100"/>
      </c:catAx>
      <c:valAx>
        <c:axId val="67177088"/>
        <c:scaling>
          <c:orientation val="minMax"/>
        </c:scaling>
        <c:axPos val="l"/>
        <c:majorGridlines/>
        <c:numFmt formatCode="General" sourceLinked="1"/>
        <c:tickLblPos val="nextTo"/>
        <c:crossAx val="6717555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124239</xdr:colOff>
      <xdr:row>13</xdr:row>
      <xdr:rowOff>182218</xdr:rowOff>
    </xdr:from>
    <xdr:to>
      <xdr:col>47</xdr:col>
      <xdr:colOff>265044</xdr:colOff>
      <xdr:row>28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165652</xdr:colOff>
      <xdr:row>14</xdr:row>
      <xdr:rowOff>8283</xdr:rowOff>
    </xdr:from>
    <xdr:to>
      <xdr:col>40</xdr:col>
      <xdr:colOff>33130</xdr:colOff>
      <xdr:row>28</xdr:row>
      <xdr:rowOff>16565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54"/>
  <sheetViews>
    <sheetView tabSelected="1" topLeftCell="AJ1" workbookViewId="0">
      <selection activeCell="AY1" sqref="AY1:AY1048576"/>
    </sheetView>
  </sheetViews>
  <sheetFormatPr defaultRowHeight="15"/>
  <cols>
    <col min="1" max="1" width="12.7109375" customWidth="1"/>
    <col min="2" max="2" width="14.28515625" customWidth="1"/>
    <col min="3" max="3" width="15.42578125" customWidth="1"/>
    <col min="4" max="11" width="2.28515625" customWidth="1"/>
    <col min="12" max="12" width="2.5703125" customWidth="1"/>
    <col min="13" max="34" width="3.42578125" customWidth="1"/>
    <col min="35" max="35" width="4.28515625" customWidth="1"/>
    <col min="36" max="36" width="15.85546875" customWidth="1"/>
    <col min="37" max="37" width="12.5703125" customWidth="1"/>
    <col min="38" max="38" width="9" customWidth="1"/>
    <col min="39" max="39" width="11.7109375" customWidth="1"/>
    <col min="40" max="42" width="10.140625" customWidth="1"/>
    <col min="43" max="43" width="9" customWidth="1"/>
    <col min="44" max="44" width="10.140625" customWidth="1"/>
    <col min="45" max="45" width="9" customWidth="1"/>
    <col min="46" max="46" width="10.140625" customWidth="1"/>
    <col min="47" max="47" width="7.85546875" customWidth="1"/>
    <col min="48" max="48" width="13.42578125" bestFit="1" customWidth="1"/>
    <col min="49" max="49" width="18.85546875" bestFit="1" customWidth="1"/>
    <col min="50" max="50" width="16.140625" bestFit="1" customWidth="1"/>
    <col min="51" max="51" width="18.140625" bestFit="1" customWidth="1"/>
    <col min="52" max="52" width="13.42578125" bestFit="1" customWidth="1"/>
    <col min="53" max="53" width="14.5703125" bestFit="1" customWidth="1"/>
    <col min="54" max="54" width="13.42578125" bestFit="1" customWidth="1"/>
    <col min="55" max="55" width="14" customWidth="1"/>
    <col min="56" max="1025" width="8.7109375" customWidth="1"/>
  </cols>
  <sheetData>
    <row r="1" spans="1:55" ht="15.75" customHeight="1">
      <c r="A1" s="25"/>
      <c r="B1" s="25"/>
      <c r="C1" s="25"/>
      <c r="D1" s="51" t="s">
        <v>0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25"/>
      <c r="AJ1" s="48" t="s">
        <v>69</v>
      </c>
      <c r="AK1" s="49" t="s">
        <v>70</v>
      </c>
      <c r="AL1" s="55" t="s">
        <v>61</v>
      </c>
      <c r="AM1" s="47" t="s">
        <v>60</v>
      </c>
      <c r="AN1" s="50" t="s">
        <v>49</v>
      </c>
      <c r="AO1" s="47" t="s">
        <v>50</v>
      </c>
      <c r="AP1" s="47" t="s">
        <v>51</v>
      </c>
      <c r="AQ1" s="47" t="s">
        <v>53</v>
      </c>
      <c r="AR1" s="47" t="s">
        <v>52</v>
      </c>
      <c r="AS1" s="47" t="s">
        <v>56</v>
      </c>
      <c r="AT1" s="47" t="s">
        <v>57</v>
      </c>
      <c r="AU1" s="47" t="s">
        <v>62</v>
      </c>
      <c r="AV1" s="47" t="s">
        <v>76</v>
      </c>
      <c r="AW1" s="57" t="s">
        <v>81</v>
      </c>
      <c r="AX1" s="47" t="s">
        <v>85</v>
      </c>
      <c r="AY1" s="47" t="s">
        <v>84</v>
      </c>
      <c r="AZ1" s="54" t="s">
        <v>87</v>
      </c>
      <c r="BA1" s="54" t="s">
        <v>88</v>
      </c>
      <c r="BB1" s="54" t="s">
        <v>86</v>
      </c>
      <c r="BC1" s="54" t="s">
        <v>89</v>
      </c>
    </row>
    <row r="2" spans="1:55" ht="35.25" customHeight="1">
      <c r="A2" s="41" t="s">
        <v>90</v>
      </c>
      <c r="B2" s="42" t="s">
        <v>91</v>
      </c>
      <c r="C2" s="43" t="s">
        <v>92</v>
      </c>
      <c r="D2" s="44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4">
        <v>31</v>
      </c>
      <c r="AI2" s="45" t="s">
        <v>59</v>
      </c>
      <c r="AJ2" s="49"/>
      <c r="AK2" s="49"/>
      <c r="AL2" s="56"/>
      <c r="AM2" s="47"/>
      <c r="AN2" s="50"/>
      <c r="AO2" s="47"/>
      <c r="AP2" s="47"/>
      <c r="AQ2" s="47"/>
      <c r="AR2" s="47"/>
      <c r="AS2" s="47"/>
      <c r="AT2" s="47"/>
      <c r="AU2" s="47"/>
      <c r="AV2" s="47"/>
      <c r="AW2" s="57"/>
      <c r="AX2" s="47"/>
      <c r="AY2" s="47"/>
      <c r="AZ2" s="54"/>
      <c r="BA2" s="54"/>
      <c r="BB2" s="54"/>
      <c r="BC2" s="54"/>
    </row>
    <row r="3" spans="1:55" ht="15.75">
      <c r="A3" s="25">
        <v>1</v>
      </c>
      <c r="B3" s="29">
        <v>43644</v>
      </c>
      <c r="C3" s="38" t="s">
        <v>1</v>
      </c>
      <c r="D3" s="14">
        <v>1</v>
      </c>
      <c r="E3" s="13"/>
      <c r="F3" s="15">
        <v>2</v>
      </c>
      <c r="G3" s="13"/>
      <c r="H3" s="14">
        <v>1</v>
      </c>
      <c r="I3" s="13"/>
      <c r="J3" s="13"/>
      <c r="K3" s="15">
        <v>2</v>
      </c>
      <c r="L3" s="14" t="s">
        <v>54</v>
      </c>
      <c r="M3" s="13"/>
      <c r="N3" s="15">
        <v>2</v>
      </c>
      <c r="O3" s="13"/>
      <c r="P3" s="15">
        <v>2</v>
      </c>
      <c r="Q3" s="13"/>
      <c r="R3" s="13" t="s">
        <v>48</v>
      </c>
      <c r="S3" s="13"/>
      <c r="T3" s="14">
        <v>1</v>
      </c>
      <c r="U3" s="13"/>
      <c r="V3" s="13"/>
      <c r="W3" s="14">
        <v>1</v>
      </c>
      <c r="X3" s="14">
        <v>1</v>
      </c>
      <c r="Y3" s="14">
        <v>1</v>
      </c>
      <c r="Z3" s="13"/>
      <c r="AA3" s="14">
        <v>1</v>
      </c>
      <c r="AB3" s="13" t="s">
        <v>47</v>
      </c>
      <c r="AC3" s="13" t="s">
        <v>47</v>
      </c>
      <c r="AD3" s="13"/>
      <c r="AE3" s="13"/>
      <c r="AF3" s="14">
        <v>1</v>
      </c>
      <c r="AG3" s="14">
        <v>1</v>
      </c>
      <c r="AH3" s="13"/>
      <c r="AI3" s="39" t="s">
        <v>2</v>
      </c>
      <c r="AJ3" s="13" t="s">
        <v>71</v>
      </c>
      <c r="AK3" s="13" t="s">
        <v>71</v>
      </c>
      <c r="AL3" s="28">
        <f t="shared" ref="AL3:AL12" ca="1" si="0">ROUND(DATEDIF(B3,TODAY(),"y"),0)</f>
        <v>1</v>
      </c>
      <c r="AM3" s="16">
        <f ca="1">AL3*100</f>
        <v>100</v>
      </c>
      <c r="AN3" s="12">
        <f t="shared" ref="AN3:AN12" si="1">COUNT(D3:AH3)+COUNTIF(D3:AH3,"z")</f>
        <v>15</v>
      </c>
      <c r="AO3" s="12">
        <f t="shared" ref="AO3:AO12" si="2">COUNTIF(D3:AH3,1)*$D$20</f>
        <v>81</v>
      </c>
      <c r="AP3" s="12">
        <f t="shared" ref="AP3:AP12" si="3">COUNTIF(D3:AH3,2)*$D$21</f>
        <v>28</v>
      </c>
      <c r="AQ3" s="12">
        <f t="shared" ref="AQ3:AQ12" si="4">COUNTIF(D3:AH3,"-")*$D$23</f>
        <v>0</v>
      </c>
      <c r="AR3" s="12">
        <f t="shared" ref="AR3:AR12" si="5">COUNTIF(D3:AH3,"з")*$D$22</f>
        <v>11</v>
      </c>
      <c r="AS3" s="12">
        <f t="shared" ref="AS3:AS12" si="6">COUNTIF(D3:AH3,"П")*$D$24</f>
        <v>6</v>
      </c>
      <c r="AT3" s="25">
        <f>SUM(AN3:AR3)</f>
        <v>135</v>
      </c>
      <c r="AU3" s="12">
        <f t="shared" ref="AU3:AU12" si="7">COUNTIF(D3:AH3,"Н")</f>
        <v>0</v>
      </c>
      <c r="AV3" s="30">
        <f>IF(AJ3="+",$B$41,0)+IF(AK3="+",$B$42,0)+IF(AND($B$52=0,($B$54-$A$54)=0),$B$44,0)+IF($A$51&lt;$B$51,$B$43,0)+AX3*0.01</f>
        <v>2253.8900000000003</v>
      </c>
      <c r="AW3" s="31">
        <f t="shared" ref="AW3:AW12" si="8">IF(AI3="дир",0,(AU3*$B$45)+IF($A$53&lt;$B$53,$B$46,0))</f>
        <v>450</v>
      </c>
      <c r="AX3" s="31">
        <f t="shared" ref="AX3:AX5" si="9">$A$51/5</f>
        <v>125389</v>
      </c>
      <c r="AY3" s="31">
        <f t="shared" ref="AY3:AY12" si="10">(VLOOKUP(AI3,A28:B37,2,0)*AT3)+AV3-AW3</f>
        <v>42888.439999999995</v>
      </c>
      <c r="AZ3" s="31">
        <f>AY3*0.13</f>
        <v>5575.4971999999998</v>
      </c>
      <c r="BA3" s="31">
        <f>AY3-AZ3</f>
        <v>37312.942799999997</v>
      </c>
      <c r="BB3" s="31">
        <f>BA3*0.3</f>
        <v>11193.882839999998</v>
      </c>
      <c r="BC3" s="31">
        <f>BA3*0.7</f>
        <v>26119.059959999995</v>
      </c>
    </row>
    <row r="4" spans="1:55" ht="15.75">
      <c r="A4" s="25">
        <v>2</v>
      </c>
      <c r="B4" s="29">
        <v>43080</v>
      </c>
      <c r="C4" s="38" t="s">
        <v>3</v>
      </c>
      <c r="D4" s="14">
        <v>1</v>
      </c>
      <c r="E4" s="14">
        <v>1</v>
      </c>
      <c r="F4" s="13"/>
      <c r="G4" s="15">
        <v>2</v>
      </c>
      <c r="H4" s="13"/>
      <c r="I4" s="13"/>
      <c r="J4" s="15">
        <v>2</v>
      </c>
      <c r="K4" s="13"/>
      <c r="L4" s="14" t="s">
        <v>54</v>
      </c>
      <c r="M4" s="15">
        <v>2</v>
      </c>
      <c r="N4" s="13"/>
      <c r="O4" s="15">
        <v>2</v>
      </c>
      <c r="P4" s="13"/>
      <c r="Q4" s="11" t="s">
        <v>48</v>
      </c>
      <c r="R4" s="13"/>
      <c r="S4" s="15">
        <v>2</v>
      </c>
      <c r="T4" s="15">
        <v>2</v>
      </c>
      <c r="U4" s="15">
        <v>2</v>
      </c>
      <c r="V4" s="13"/>
      <c r="W4" s="13"/>
      <c r="X4" s="15">
        <v>2</v>
      </c>
      <c r="Y4" s="14">
        <v>1</v>
      </c>
      <c r="Z4" s="14">
        <v>1</v>
      </c>
      <c r="AA4" s="15">
        <v>2</v>
      </c>
      <c r="AB4" s="13"/>
      <c r="AC4" s="11" t="s">
        <v>48</v>
      </c>
      <c r="AD4" s="13"/>
      <c r="AE4" s="15">
        <v>2</v>
      </c>
      <c r="AF4" s="15">
        <v>2</v>
      </c>
      <c r="AG4" s="13"/>
      <c r="AH4" s="14">
        <v>1</v>
      </c>
      <c r="AI4" s="39" t="s">
        <v>4</v>
      </c>
      <c r="AJ4" s="13" t="s">
        <v>71</v>
      </c>
      <c r="AK4" s="13" t="s">
        <v>71</v>
      </c>
      <c r="AL4" s="28">
        <f t="shared" ca="1" si="0"/>
        <v>3</v>
      </c>
      <c r="AM4" s="16">
        <f t="shared" ref="AM4:AM12" ca="1" si="11">AL4*100</f>
        <v>300</v>
      </c>
      <c r="AN4" s="12">
        <f t="shared" si="1"/>
        <v>16</v>
      </c>
      <c r="AO4" s="12">
        <f t="shared" si="2"/>
        <v>45</v>
      </c>
      <c r="AP4" s="12">
        <f t="shared" si="3"/>
        <v>77</v>
      </c>
      <c r="AQ4" s="12">
        <f t="shared" si="4"/>
        <v>0</v>
      </c>
      <c r="AR4" s="12">
        <f t="shared" si="5"/>
        <v>22</v>
      </c>
      <c r="AS4" s="12">
        <f t="shared" si="6"/>
        <v>6</v>
      </c>
      <c r="AT4" s="25">
        <f t="shared" ref="AT4:AT12" si="12">SUM(AP4:AS4)</f>
        <v>105</v>
      </c>
      <c r="AU4" s="12">
        <f t="shared" si="7"/>
        <v>0</v>
      </c>
      <c r="AV4" s="30">
        <f t="shared" ref="AV4:AV12" si="13">IF(AJ4="+",$B$41,0)+IF(AK4="+",$B$42,0)+IF(AND($B$52=0,($B$54-$A$54)=0),$B$44,0)+IF($A$51&lt;$B$51,$B$43,0)+AX4*0.01</f>
        <v>2253.8900000000003</v>
      </c>
      <c r="AW4" s="31">
        <f t="shared" si="8"/>
        <v>450</v>
      </c>
      <c r="AX4" s="31">
        <f t="shared" si="9"/>
        <v>125389</v>
      </c>
      <c r="AY4" s="31">
        <f t="shared" si="10"/>
        <v>21807.439999999999</v>
      </c>
      <c r="AZ4" s="31">
        <f t="shared" ref="AZ4:AZ12" si="14">AY4*0.13</f>
        <v>2834.9672</v>
      </c>
      <c r="BA4" s="31">
        <f t="shared" ref="BA4:BA12" si="15">AY4-AZ4</f>
        <v>18972.4728</v>
      </c>
      <c r="BB4" s="31">
        <f t="shared" ref="BB4:BB12" si="16">BA4*0.3</f>
        <v>5691.7418399999997</v>
      </c>
      <c r="BC4" s="31">
        <f t="shared" ref="BC4:BC12" si="17">BA4*0.7</f>
        <v>13280.730959999999</v>
      </c>
    </row>
    <row r="5" spans="1:55" ht="15.75">
      <c r="A5" s="25">
        <v>3</v>
      </c>
      <c r="B5" s="29">
        <v>43749</v>
      </c>
      <c r="C5" s="38" t="s">
        <v>5</v>
      </c>
      <c r="D5" s="14">
        <v>1</v>
      </c>
      <c r="E5" s="13"/>
      <c r="F5" s="15">
        <v>2</v>
      </c>
      <c r="G5" s="13"/>
      <c r="H5" s="11" t="s">
        <v>48</v>
      </c>
      <c r="I5" s="13"/>
      <c r="J5" s="13"/>
      <c r="K5" s="13"/>
      <c r="L5" s="14" t="s">
        <v>54</v>
      </c>
      <c r="M5" s="14">
        <v>1</v>
      </c>
      <c r="N5" s="11" t="s">
        <v>48</v>
      </c>
      <c r="O5" s="14">
        <v>1</v>
      </c>
      <c r="P5" s="13" t="s">
        <v>63</v>
      </c>
      <c r="Q5" s="13"/>
      <c r="R5" s="15">
        <v>2</v>
      </c>
      <c r="S5" s="15">
        <v>2</v>
      </c>
      <c r="T5" s="13"/>
      <c r="U5" s="14">
        <v>1</v>
      </c>
      <c r="V5" s="13"/>
      <c r="W5" s="14">
        <v>1</v>
      </c>
      <c r="X5" s="13"/>
      <c r="Y5" s="15">
        <v>2</v>
      </c>
      <c r="Z5" s="13"/>
      <c r="AA5" s="15">
        <v>2</v>
      </c>
      <c r="AB5" s="13"/>
      <c r="AC5" s="13"/>
      <c r="AD5" s="15">
        <v>2</v>
      </c>
      <c r="AE5" s="14">
        <v>1</v>
      </c>
      <c r="AF5" s="13"/>
      <c r="AG5" s="13"/>
      <c r="AH5" s="13"/>
      <c r="AI5" s="39" t="s">
        <v>6</v>
      </c>
      <c r="AJ5" s="13" t="s">
        <v>71</v>
      </c>
      <c r="AK5" s="13" t="s">
        <v>71</v>
      </c>
      <c r="AL5" s="28">
        <f t="shared" ca="1" si="0"/>
        <v>1</v>
      </c>
      <c r="AM5" s="16">
        <f t="shared" ca="1" si="11"/>
        <v>100</v>
      </c>
      <c r="AN5" s="12">
        <f t="shared" si="1"/>
        <v>12</v>
      </c>
      <c r="AO5" s="12">
        <f t="shared" si="2"/>
        <v>54</v>
      </c>
      <c r="AP5" s="12">
        <f t="shared" si="3"/>
        <v>42</v>
      </c>
      <c r="AQ5" s="12">
        <f t="shared" si="4"/>
        <v>0</v>
      </c>
      <c r="AR5" s="12">
        <f t="shared" si="5"/>
        <v>22</v>
      </c>
      <c r="AS5" s="12">
        <f t="shared" si="6"/>
        <v>6</v>
      </c>
      <c r="AT5" s="25">
        <f t="shared" si="12"/>
        <v>70</v>
      </c>
      <c r="AU5" s="12">
        <f t="shared" si="7"/>
        <v>1</v>
      </c>
      <c r="AV5" s="30">
        <f t="shared" si="13"/>
        <v>2253.8900000000003</v>
      </c>
      <c r="AW5" s="31">
        <f t="shared" si="8"/>
        <v>1450</v>
      </c>
      <c r="AX5" s="31">
        <f t="shared" si="9"/>
        <v>125389</v>
      </c>
      <c r="AY5" s="31">
        <f t="shared" si="10"/>
        <v>16965.490000000002</v>
      </c>
      <c r="AZ5" s="31">
        <f t="shared" si="14"/>
        <v>2205.5137000000004</v>
      </c>
      <c r="BA5" s="31">
        <f t="shared" si="15"/>
        <v>14759.976300000002</v>
      </c>
      <c r="BB5" s="31">
        <f t="shared" si="16"/>
        <v>4427.9928900000004</v>
      </c>
      <c r="BC5" s="31">
        <f t="shared" si="17"/>
        <v>10331.983410000001</v>
      </c>
    </row>
    <row r="6" spans="1:55" ht="15.75">
      <c r="A6" s="25">
        <v>4</v>
      </c>
      <c r="B6" s="29">
        <v>44320</v>
      </c>
      <c r="C6" s="38" t="s">
        <v>7</v>
      </c>
      <c r="D6" s="13"/>
      <c r="E6" s="13"/>
      <c r="F6" s="13"/>
      <c r="G6" s="14">
        <v>1</v>
      </c>
      <c r="H6" s="13"/>
      <c r="I6" s="15">
        <v>2</v>
      </c>
      <c r="J6" s="13"/>
      <c r="K6" s="13"/>
      <c r="L6" s="14" t="s">
        <v>54</v>
      </c>
      <c r="M6" s="14">
        <v>1</v>
      </c>
      <c r="N6" s="11" t="s">
        <v>48</v>
      </c>
      <c r="O6" s="13"/>
      <c r="P6" s="13"/>
      <c r="Q6" s="14">
        <v>1</v>
      </c>
      <c r="R6" s="17" t="s">
        <v>8</v>
      </c>
      <c r="S6" s="17" t="s">
        <v>8</v>
      </c>
      <c r="T6" s="17" t="s">
        <v>8</v>
      </c>
      <c r="U6" s="14">
        <v>1</v>
      </c>
      <c r="V6" s="13"/>
      <c r="W6" s="13"/>
      <c r="X6" s="13"/>
      <c r="Y6" s="14">
        <v>1</v>
      </c>
      <c r="Z6" s="13"/>
      <c r="AA6" s="13"/>
      <c r="AB6" s="15">
        <v>2</v>
      </c>
      <c r="AC6" s="14">
        <v>1</v>
      </c>
      <c r="AD6" s="11" t="s">
        <v>48</v>
      </c>
      <c r="AE6" s="13" t="s">
        <v>63</v>
      </c>
      <c r="AF6" s="13"/>
      <c r="AG6" s="15">
        <v>2</v>
      </c>
      <c r="AH6" s="13"/>
      <c r="AI6" s="39" t="s">
        <v>9</v>
      </c>
      <c r="AJ6" s="13" t="s">
        <v>8</v>
      </c>
      <c r="AK6" s="13"/>
      <c r="AL6" s="28">
        <f t="shared" ca="1" si="0"/>
        <v>0</v>
      </c>
      <c r="AM6" s="16">
        <f t="shared" ca="1" si="11"/>
        <v>0</v>
      </c>
      <c r="AN6" s="12">
        <f t="shared" si="1"/>
        <v>9</v>
      </c>
      <c r="AO6" s="12">
        <f t="shared" si="2"/>
        <v>54</v>
      </c>
      <c r="AP6" s="12">
        <f t="shared" si="3"/>
        <v>21</v>
      </c>
      <c r="AQ6" s="12">
        <f t="shared" si="4"/>
        <v>18</v>
      </c>
      <c r="AR6" s="12">
        <f t="shared" si="5"/>
        <v>22</v>
      </c>
      <c r="AS6" s="12">
        <f t="shared" si="6"/>
        <v>6</v>
      </c>
      <c r="AT6" s="25">
        <f t="shared" si="12"/>
        <v>67</v>
      </c>
      <c r="AU6" s="12">
        <f t="shared" si="7"/>
        <v>1</v>
      </c>
      <c r="AV6" s="30">
        <f t="shared" si="13"/>
        <v>0</v>
      </c>
      <c r="AW6" s="31">
        <f t="shared" si="8"/>
        <v>1450</v>
      </c>
      <c r="AX6" s="31">
        <v>0</v>
      </c>
      <c r="AY6" s="31">
        <f t="shared" si="10"/>
        <v>12764.72</v>
      </c>
      <c r="AZ6" s="31">
        <f t="shared" si="14"/>
        <v>1659.4135999999999</v>
      </c>
      <c r="BA6" s="31">
        <f t="shared" si="15"/>
        <v>11105.306399999999</v>
      </c>
      <c r="BB6" s="31">
        <f t="shared" si="16"/>
        <v>3331.5919199999998</v>
      </c>
      <c r="BC6" s="31">
        <f t="shared" si="17"/>
        <v>7773.7144799999987</v>
      </c>
    </row>
    <row r="7" spans="1:55" ht="15.75">
      <c r="A7" s="25">
        <v>5</v>
      </c>
      <c r="B7" s="29">
        <v>43144</v>
      </c>
      <c r="C7" s="38" t="s">
        <v>10</v>
      </c>
      <c r="D7" s="15">
        <v>2</v>
      </c>
      <c r="E7" s="14">
        <v>1</v>
      </c>
      <c r="F7" s="13"/>
      <c r="G7" s="13"/>
      <c r="H7" s="13"/>
      <c r="I7" s="13"/>
      <c r="J7" s="14">
        <v>1</v>
      </c>
      <c r="K7" s="13"/>
      <c r="L7" s="14" t="s">
        <v>54</v>
      </c>
      <c r="M7" s="13"/>
      <c r="N7" s="13"/>
      <c r="O7" s="15">
        <v>2</v>
      </c>
      <c r="P7" s="13"/>
      <c r="Q7" s="13"/>
      <c r="R7" s="15">
        <v>2</v>
      </c>
      <c r="S7" s="14">
        <v>1</v>
      </c>
      <c r="T7" s="14">
        <v>1</v>
      </c>
      <c r="U7" s="13"/>
      <c r="V7" s="14">
        <v>1</v>
      </c>
      <c r="W7" s="14">
        <v>1</v>
      </c>
      <c r="X7" s="15">
        <v>2</v>
      </c>
      <c r="Y7" s="11" t="s">
        <v>48</v>
      </c>
      <c r="Z7" s="15">
        <v>2</v>
      </c>
      <c r="AA7" s="15">
        <v>2</v>
      </c>
      <c r="AB7" s="13"/>
      <c r="AC7" s="14">
        <v>1</v>
      </c>
      <c r="AD7" s="17" t="s">
        <v>8</v>
      </c>
      <c r="AE7" s="17" t="s">
        <v>8</v>
      </c>
      <c r="AF7" s="17" t="s">
        <v>8</v>
      </c>
      <c r="AG7" s="13"/>
      <c r="AH7" s="15">
        <v>2</v>
      </c>
      <c r="AI7" s="39" t="s">
        <v>11</v>
      </c>
      <c r="AJ7" s="13" t="s">
        <v>71</v>
      </c>
      <c r="AK7" s="13"/>
      <c r="AL7" s="28">
        <f t="shared" ca="1" si="0"/>
        <v>3</v>
      </c>
      <c r="AM7" s="16">
        <f t="shared" ca="1" si="11"/>
        <v>300</v>
      </c>
      <c r="AN7" s="12">
        <f t="shared" si="1"/>
        <v>14</v>
      </c>
      <c r="AO7" s="12">
        <f t="shared" si="2"/>
        <v>63</v>
      </c>
      <c r="AP7" s="12">
        <f t="shared" si="3"/>
        <v>49</v>
      </c>
      <c r="AQ7" s="12">
        <f t="shared" si="4"/>
        <v>18</v>
      </c>
      <c r="AR7" s="12">
        <f t="shared" si="5"/>
        <v>11</v>
      </c>
      <c r="AS7" s="12">
        <f t="shared" si="6"/>
        <v>6</v>
      </c>
      <c r="AT7" s="25">
        <f t="shared" si="12"/>
        <v>84</v>
      </c>
      <c r="AU7" s="12">
        <f t="shared" si="7"/>
        <v>0</v>
      </c>
      <c r="AV7" s="30">
        <f t="shared" si="13"/>
        <v>500</v>
      </c>
      <c r="AW7" s="31">
        <f t="shared" si="8"/>
        <v>450</v>
      </c>
      <c r="AX7" s="31">
        <v>0</v>
      </c>
      <c r="AY7" s="31">
        <f t="shared" si="10"/>
        <v>21811.040000000001</v>
      </c>
      <c r="AZ7" s="31">
        <f t="shared" si="14"/>
        <v>2835.4352000000003</v>
      </c>
      <c r="BA7" s="31">
        <f t="shared" si="15"/>
        <v>18975.604800000001</v>
      </c>
      <c r="BB7" s="31">
        <f t="shared" si="16"/>
        <v>5692.6814400000003</v>
      </c>
      <c r="BC7" s="31">
        <f t="shared" si="17"/>
        <v>13282.923360000001</v>
      </c>
    </row>
    <row r="8" spans="1:55" ht="15.75">
      <c r="A8" s="25">
        <v>6</v>
      </c>
      <c r="B8" s="29">
        <v>42947</v>
      </c>
      <c r="C8" s="38" t="s">
        <v>12</v>
      </c>
      <c r="D8" s="14">
        <v>1</v>
      </c>
      <c r="E8" s="13"/>
      <c r="F8" s="14">
        <v>1</v>
      </c>
      <c r="G8" s="13"/>
      <c r="H8" s="14">
        <v>1</v>
      </c>
      <c r="I8" s="14">
        <v>1</v>
      </c>
      <c r="J8" s="13"/>
      <c r="K8" s="13"/>
      <c r="L8" s="14" t="s">
        <v>54</v>
      </c>
      <c r="M8" s="14">
        <v>1</v>
      </c>
      <c r="N8" s="11" t="s">
        <v>48</v>
      </c>
      <c r="O8" s="15">
        <v>2</v>
      </c>
      <c r="P8" s="14">
        <v>1</v>
      </c>
      <c r="Q8" s="14" t="s">
        <v>13</v>
      </c>
      <c r="R8" s="13"/>
      <c r="S8" s="13"/>
      <c r="T8" s="11" t="s">
        <v>48</v>
      </c>
      <c r="U8" s="13"/>
      <c r="V8" s="15">
        <v>2</v>
      </c>
      <c r="W8" s="14">
        <v>1</v>
      </c>
      <c r="X8" s="15">
        <v>2</v>
      </c>
      <c r="Y8" s="14">
        <v>1</v>
      </c>
      <c r="Z8" s="15">
        <v>2</v>
      </c>
      <c r="AA8" s="15">
        <v>2</v>
      </c>
      <c r="AB8" s="13"/>
      <c r="AC8" s="11" t="s">
        <v>48</v>
      </c>
      <c r="AD8" s="13"/>
      <c r="AE8" s="11" t="s">
        <v>48</v>
      </c>
      <c r="AF8" s="13"/>
      <c r="AG8" s="13"/>
      <c r="AH8" s="14">
        <v>1</v>
      </c>
      <c r="AI8" s="39" t="s">
        <v>14</v>
      </c>
      <c r="AJ8" s="13" t="s">
        <v>8</v>
      </c>
      <c r="AK8" s="13"/>
      <c r="AL8" s="28">
        <f t="shared" ca="1" si="0"/>
        <v>3</v>
      </c>
      <c r="AM8" s="16">
        <f t="shared" ca="1" si="11"/>
        <v>300</v>
      </c>
      <c r="AN8" s="12">
        <f t="shared" si="1"/>
        <v>14</v>
      </c>
      <c r="AO8" s="12">
        <f t="shared" si="2"/>
        <v>81</v>
      </c>
      <c r="AP8" s="12">
        <f t="shared" si="3"/>
        <v>35</v>
      </c>
      <c r="AQ8" s="12">
        <f t="shared" si="4"/>
        <v>0</v>
      </c>
      <c r="AR8" s="12">
        <f t="shared" si="5"/>
        <v>44</v>
      </c>
      <c r="AS8" s="12">
        <f t="shared" si="6"/>
        <v>6</v>
      </c>
      <c r="AT8" s="25">
        <f t="shared" si="12"/>
        <v>85</v>
      </c>
      <c r="AU8" s="12">
        <f t="shared" si="7"/>
        <v>0</v>
      </c>
      <c r="AV8" s="30">
        <f t="shared" si="13"/>
        <v>0</v>
      </c>
      <c r="AW8" s="31">
        <f t="shared" si="8"/>
        <v>450</v>
      </c>
      <c r="AX8" s="31">
        <v>0</v>
      </c>
      <c r="AY8" s="31">
        <f t="shared" si="10"/>
        <v>14827.900000000001</v>
      </c>
      <c r="AZ8" s="31">
        <f t="shared" si="14"/>
        <v>1927.6270000000002</v>
      </c>
      <c r="BA8" s="31">
        <f t="shared" si="15"/>
        <v>12900.273000000001</v>
      </c>
      <c r="BB8" s="31">
        <f t="shared" si="16"/>
        <v>3870.0819000000001</v>
      </c>
      <c r="BC8" s="31">
        <f t="shared" si="17"/>
        <v>9030.1911</v>
      </c>
    </row>
    <row r="9" spans="1:55" ht="15.75">
      <c r="A9" s="25">
        <v>7</v>
      </c>
      <c r="B9" s="29">
        <v>44309</v>
      </c>
      <c r="C9" s="38" t="s">
        <v>15</v>
      </c>
      <c r="D9" s="15">
        <v>2</v>
      </c>
      <c r="E9" s="15">
        <v>2</v>
      </c>
      <c r="F9" s="14">
        <v>1</v>
      </c>
      <c r="G9" s="15">
        <v>2</v>
      </c>
      <c r="H9" s="15">
        <v>2</v>
      </c>
      <c r="I9" s="17" t="s">
        <v>8</v>
      </c>
      <c r="J9" s="17" t="s">
        <v>8</v>
      </c>
      <c r="K9" s="17" t="s">
        <v>8</v>
      </c>
      <c r="L9" s="14" t="s">
        <v>54</v>
      </c>
      <c r="M9" s="14">
        <v>1</v>
      </c>
      <c r="N9" s="14">
        <v>1</v>
      </c>
      <c r="O9" s="15">
        <v>2</v>
      </c>
      <c r="P9" s="15">
        <v>2</v>
      </c>
      <c r="Q9" s="13"/>
      <c r="R9" s="13"/>
      <c r="S9" s="14">
        <v>1</v>
      </c>
      <c r="T9" s="14">
        <v>1</v>
      </c>
      <c r="U9" s="13"/>
      <c r="V9" s="14">
        <v>1</v>
      </c>
      <c r="W9" s="15">
        <v>2</v>
      </c>
      <c r="X9" s="13"/>
      <c r="Y9" s="13"/>
      <c r="Z9" s="14">
        <v>1</v>
      </c>
      <c r="AA9" s="13"/>
      <c r="AB9" s="14">
        <v>1</v>
      </c>
      <c r="AC9" s="14">
        <v>1</v>
      </c>
      <c r="AD9" s="15">
        <v>2</v>
      </c>
      <c r="AE9" s="15">
        <v>2</v>
      </c>
      <c r="AF9" s="13"/>
      <c r="AG9" s="13"/>
      <c r="AH9" s="13"/>
      <c r="AI9" s="39" t="s">
        <v>16</v>
      </c>
      <c r="AJ9" s="13" t="s">
        <v>71</v>
      </c>
      <c r="AK9" s="13"/>
      <c r="AL9" s="28">
        <f t="shared" ca="1" si="0"/>
        <v>0</v>
      </c>
      <c r="AM9" s="16">
        <f t="shared" ca="1" si="11"/>
        <v>0</v>
      </c>
      <c r="AN9" s="12">
        <f t="shared" si="1"/>
        <v>18</v>
      </c>
      <c r="AO9" s="12">
        <f t="shared" si="2"/>
        <v>81</v>
      </c>
      <c r="AP9" s="12">
        <f t="shared" si="3"/>
        <v>63</v>
      </c>
      <c r="AQ9" s="12">
        <f t="shared" si="4"/>
        <v>18</v>
      </c>
      <c r="AR9" s="12">
        <f t="shared" si="5"/>
        <v>0</v>
      </c>
      <c r="AS9" s="12">
        <f t="shared" si="6"/>
        <v>6</v>
      </c>
      <c r="AT9" s="25">
        <f t="shared" si="12"/>
        <v>87</v>
      </c>
      <c r="AU9" s="12">
        <f t="shared" si="7"/>
        <v>0</v>
      </c>
      <c r="AV9" s="30">
        <f t="shared" si="13"/>
        <v>500</v>
      </c>
      <c r="AW9" s="31">
        <f t="shared" si="8"/>
        <v>450</v>
      </c>
      <c r="AX9" s="31">
        <v>0</v>
      </c>
      <c r="AY9" s="31">
        <f t="shared" si="10"/>
        <v>10302.08</v>
      </c>
      <c r="AZ9" s="31">
        <f t="shared" si="14"/>
        <v>1339.2704000000001</v>
      </c>
      <c r="BA9" s="31">
        <f t="shared" si="15"/>
        <v>8962.8096000000005</v>
      </c>
      <c r="BB9" s="31">
        <f t="shared" si="16"/>
        <v>2688.8428800000002</v>
      </c>
      <c r="BC9" s="31">
        <f t="shared" si="17"/>
        <v>6273.9667200000004</v>
      </c>
    </row>
    <row r="10" spans="1:55" ht="15.75">
      <c r="A10" s="25">
        <v>8</v>
      </c>
      <c r="B10" s="29">
        <v>43118</v>
      </c>
      <c r="C10" s="38" t="s">
        <v>17</v>
      </c>
      <c r="D10" s="13"/>
      <c r="E10" s="13"/>
      <c r="F10" s="15">
        <v>2</v>
      </c>
      <c r="G10" s="13"/>
      <c r="H10" s="13"/>
      <c r="I10" s="13"/>
      <c r="J10" s="13"/>
      <c r="K10" s="13"/>
      <c r="L10" s="14" t="s">
        <v>54</v>
      </c>
      <c r="M10" s="13"/>
      <c r="N10" s="15">
        <v>2</v>
      </c>
      <c r="O10" s="11" t="s">
        <v>48</v>
      </c>
      <c r="P10" s="13"/>
      <c r="Q10" s="15">
        <v>2</v>
      </c>
      <c r="R10" s="15">
        <v>2</v>
      </c>
      <c r="S10" s="14">
        <v>1</v>
      </c>
      <c r="T10" s="14">
        <v>1</v>
      </c>
      <c r="U10" s="15">
        <v>2</v>
      </c>
      <c r="V10" s="13"/>
      <c r="W10" s="14">
        <v>1</v>
      </c>
      <c r="X10" s="13"/>
      <c r="Y10" s="13"/>
      <c r="Z10" s="15">
        <v>2</v>
      </c>
      <c r="AA10" s="13" t="s">
        <v>63</v>
      </c>
      <c r="AB10" s="13"/>
      <c r="AC10" s="13"/>
      <c r="AD10" s="15">
        <v>2</v>
      </c>
      <c r="AE10" s="15">
        <v>2</v>
      </c>
      <c r="AF10" s="15">
        <v>2</v>
      </c>
      <c r="AG10" s="14">
        <v>1</v>
      </c>
      <c r="AH10" s="15">
        <v>2</v>
      </c>
      <c r="AI10" s="39" t="s">
        <v>18</v>
      </c>
      <c r="AJ10" s="13" t="s">
        <v>71</v>
      </c>
      <c r="AK10" s="13"/>
      <c r="AL10" s="28">
        <f t="shared" ca="1" si="0"/>
        <v>3</v>
      </c>
      <c r="AM10" s="16">
        <f t="shared" ca="1" si="11"/>
        <v>300</v>
      </c>
      <c r="AN10" s="12">
        <f t="shared" si="1"/>
        <v>14</v>
      </c>
      <c r="AO10" s="12">
        <f t="shared" si="2"/>
        <v>36</v>
      </c>
      <c r="AP10" s="12">
        <f t="shared" si="3"/>
        <v>70</v>
      </c>
      <c r="AQ10" s="12">
        <f t="shared" si="4"/>
        <v>0</v>
      </c>
      <c r="AR10" s="12">
        <f t="shared" si="5"/>
        <v>11</v>
      </c>
      <c r="AS10" s="12">
        <f t="shared" si="6"/>
        <v>6</v>
      </c>
      <c r="AT10" s="25">
        <f t="shared" si="12"/>
        <v>87</v>
      </c>
      <c r="AU10" s="12">
        <f t="shared" si="7"/>
        <v>1</v>
      </c>
      <c r="AV10" s="30">
        <f t="shared" si="13"/>
        <v>500</v>
      </c>
      <c r="AW10" s="31">
        <f t="shared" si="8"/>
        <v>1450</v>
      </c>
      <c r="AX10" s="31">
        <v>0</v>
      </c>
      <c r="AY10" s="31">
        <f t="shared" si="10"/>
        <v>5138.26</v>
      </c>
      <c r="AZ10" s="31">
        <f t="shared" si="14"/>
        <v>667.9738000000001</v>
      </c>
      <c r="BA10" s="31">
        <f t="shared" si="15"/>
        <v>4470.2862000000005</v>
      </c>
      <c r="BB10" s="31">
        <f t="shared" si="16"/>
        <v>1341.0858600000001</v>
      </c>
      <c r="BC10" s="31">
        <f t="shared" si="17"/>
        <v>3129.2003400000003</v>
      </c>
    </row>
    <row r="11" spans="1:55" ht="15.75">
      <c r="A11" s="25">
        <v>9</v>
      </c>
      <c r="B11" s="29">
        <v>43202</v>
      </c>
      <c r="C11" s="38" t="s">
        <v>19</v>
      </c>
      <c r="D11" s="13"/>
      <c r="E11" s="15">
        <v>2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 t="s">
        <v>54</v>
      </c>
      <c r="M11" s="15">
        <v>2</v>
      </c>
      <c r="N11" s="13"/>
      <c r="O11" s="11" t="s">
        <v>48</v>
      </c>
      <c r="P11" s="14">
        <v>1</v>
      </c>
      <c r="Q11" s="15">
        <v>2</v>
      </c>
      <c r="R11" s="13"/>
      <c r="S11" s="11" t="s">
        <v>48</v>
      </c>
      <c r="T11" s="15">
        <v>2</v>
      </c>
      <c r="U11" s="11" t="s">
        <v>48</v>
      </c>
      <c r="V11" s="14">
        <v>1</v>
      </c>
      <c r="W11" s="17" t="s">
        <v>8</v>
      </c>
      <c r="X11" s="17" t="s">
        <v>8</v>
      </c>
      <c r="Y11" s="17" t="s">
        <v>8</v>
      </c>
      <c r="Z11" s="13"/>
      <c r="AA11" s="13"/>
      <c r="AB11" s="13"/>
      <c r="AC11" s="14">
        <v>1</v>
      </c>
      <c r="AD11" s="14">
        <v>1</v>
      </c>
      <c r="AE11" s="15">
        <v>2</v>
      </c>
      <c r="AF11" s="15">
        <v>2</v>
      </c>
      <c r="AG11" s="11" t="s">
        <v>48</v>
      </c>
      <c r="AH11" s="14">
        <v>1</v>
      </c>
      <c r="AI11" s="39" t="s">
        <v>20</v>
      </c>
      <c r="AJ11" s="13" t="s">
        <v>8</v>
      </c>
      <c r="AK11" s="13" t="s">
        <v>71</v>
      </c>
      <c r="AL11" s="28">
        <f t="shared" ca="1" si="0"/>
        <v>3</v>
      </c>
      <c r="AM11" s="16">
        <f t="shared" ca="1" si="11"/>
        <v>300</v>
      </c>
      <c r="AN11" s="12">
        <f t="shared" si="1"/>
        <v>17</v>
      </c>
      <c r="AO11" s="12">
        <f t="shared" si="2"/>
        <v>99</v>
      </c>
      <c r="AP11" s="12">
        <f t="shared" si="3"/>
        <v>42</v>
      </c>
      <c r="AQ11" s="12">
        <f t="shared" si="4"/>
        <v>18</v>
      </c>
      <c r="AR11" s="12">
        <f t="shared" si="5"/>
        <v>44</v>
      </c>
      <c r="AS11" s="12">
        <f t="shared" si="6"/>
        <v>6</v>
      </c>
      <c r="AT11" s="25">
        <f t="shared" si="12"/>
        <v>110</v>
      </c>
      <c r="AU11" s="12">
        <f t="shared" si="7"/>
        <v>0</v>
      </c>
      <c r="AV11" s="30">
        <f t="shared" si="13"/>
        <v>1753.89</v>
      </c>
      <c r="AW11" s="31">
        <f t="shared" si="8"/>
        <v>450</v>
      </c>
      <c r="AX11" s="31">
        <f t="shared" ref="AX11:AX12" si="18">$A$51/5</f>
        <v>125389</v>
      </c>
      <c r="AY11" s="31">
        <f t="shared" si="10"/>
        <v>24641.489999999998</v>
      </c>
      <c r="AZ11" s="31">
        <f t="shared" si="14"/>
        <v>3203.3936999999996</v>
      </c>
      <c r="BA11" s="31">
        <f t="shared" si="15"/>
        <v>21438.096299999997</v>
      </c>
      <c r="BB11" s="31">
        <f t="shared" si="16"/>
        <v>6431.4288899999992</v>
      </c>
      <c r="BC11" s="31">
        <f t="shared" si="17"/>
        <v>15006.667409999996</v>
      </c>
    </row>
    <row r="12" spans="1:55" ht="15.75">
      <c r="A12" s="25">
        <v>10</v>
      </c>
      <c r="B12" s="29">
        <v>43979</v>
      </c>
      <c r="C12" s="38" t="s">
        <v>21</v>
      </c>
      <c r="D12" s="14">
        <v>1</v>
      </c>
      <c r="E12" s="13"/>
      <c r="F12" s="13"/>
      <c r="G12" s="13"/>
      <c r="H12" s="13"/>
      <c r="I12" s="14">
        <v>1</v>
      </c>
      <c r="J12" s="13"/>
      <c r="K12" s="11" t="s">
        <v>48</v>
      </c>
      <c r="L12" s="14" t="s">
        <v>54</v>
      </c>
      <c r="M12" s="15">
        <v>2</v>
      </c>
      <c r="N12" s="13"/>
      <c r="O12" s="15">
        <v>2</v>
      </c>
      <c r="P12" s="14">
        <v>1</v>
      </c>
      <c r="Q12" s="14">
        <v>1</v>
      </c>
      <c r="R12" s="14">
        <v>1</v>
      </c>
      <c r="S12" s="13"/>
      <c r="T12" s="15">
        <v>2</v>
      </c>
      <c r="U12" s="15">
        <v>2</v>
      </c>
      <c r="V12" s="14">
        <v>1</v>
      </c>
      <c r="W12" s="15">
        <v>2</v>
      </c>
      <c r="X12" s="15">
        <v>2</v>
      </c>
      <c r="Y12" s="14">
        <v>1</v>
      </c>
      <c r="Z12" s="14">
        <v>1</v>
      </c>
      <c r="AA12" s="14">
        <v>1</v>
      </c>
      <c r="AB12" s="14">
        <v>1</v>
      </c>
      <c r="AC12" s="14">
        <v>1</v>
      </c>
      <c r="AD12" s="11" t="s">
        <v>48</v>
      </c>
      <c r="AE12" s="14">
        <v>1</v>
      </c>
      <c r="AF12" s="13"/>
      <c r="AG12" s="14">
        <v>1</v>
      </c>
      <c r="AH12" s="13"/>
      <c r="AI12" s="39" t="s">
        <v>22</v>
      </c>
      <c r="AJ12" s="13" t="s">
        <v>71</v>
      </c>
      <c r="AK12" s="13" t="s">
        <v>71</v>
      </c>
      <c r="AL12" s="28">
        <f t="shared" ca="1" si="0"/>
        <v>1</v>
      </c>
      <c r="AM12" s="16">
        <f t="shared" ca="1" si="11"/>
        <v>100</v>
      </c>
      <c r="AN12" s="12">
        <f t="shared" si="1"/>
        <v>19</v>
      </c>
      <c r="AO12" s="12">
        <f t="shared" si="2"/>
        <v>117</v>
      </c>
      <c r="AP12" s="12">
        <f t="shared" si="3"/>
        <v>42</v>
      </c>
      <c r="AQ12" s="12">
        <f t="shared" si="4"/>
        <v>0</v>
      </c>
      <c r="AR12" s="12">
        <f t="shared" si="5"/>
        <v>22</v>
      </c>
      <c r="AS12" s="12">
        <f t="shared" si="6"/>
        <v>6</v>
      </c>
      <c r="AT12" s="25">
        <f t="shared" si="12"/>
        <v>70</v>
      </c>
      <c r="AU12" s="12">
        <f t="shared" si="7"/>
        <v>0</v>
      </c>
      <c r="AV12" s="30">
        <f t="shared" si="13"/>
        <v>2253.8900000000003</v>
      </c>
      <c r="AW12" s="31">
        <f t="shared" si="8"/>
        <v>0</v>
      </c>
      <c r="AX12" s="31">
        <f t="shared" si="18"/>
        <v>125389</v>
      </c>
      <c r="AY12" s="31">
        <f t="shared" si="10"/>
        <v>17200.990000000002</v>
      </c>
      <c r="AZ12" s="31">
        <f t="shared" si="14"/>
        <v>2236.1287000000002</v>
      </c>
      <c r="BA12" s="31">
        <f t="shared" si="15"/>
        <v>14964.8613</v>
      </c>
      <c r="BB12" s="31">
        <f t="shared" si="16"/>
        <v>4489.4583899999998</v>
      </c>
      <c r="BC12" s="31">
        <f t="shared" si="17"/>
        <v>10475.402909999999</v>
      </c>
    </row>
    <row r="13" spans="1:55" ht="15.75" customHeight="1">
      <c r="A13" s="52" t="s">
        <v>93</v>
      </c>
      <c r="B13" s="52"/>
      <c r="C13" s="53"/>
      <c r="D13" s="40">
        <f>SUM(D3:D12)</f>
        <v>9</v>
      </c>
      <c r="E13" s="40">
        <f t="shared" ref="E13:AH13" si="19">SUM(E3:E12)</f>
        <v>6</v>
      </c>
      <c r="F13" s="40">
        <f t="shared" si="19"/>
        <v>9</v>
      </c>
      <c r="G13" s="40">
        <f t="shared" si="19"/>
        <v>6</v>
      </c>
      <c r="H13" s="40">
        <f t="shared" si="19"/>
        <v>5</v>
      </c>
      <c r="I13" s="40">
        <f t="shared" si="19"/>
        <v>5</v>
      </c>
      <c r="J13" s="40">
        <f t="shared" si="19"/>
        <v>4</v>
      </c>
      <c r="K13" s="40">
        <f t="shared" si="19"/>
        <v>3</v>
      </c>
      <c r="L13" s="40">
        <f t="shared" si="19"/>
        <v>0</v>
      </c>
      <c r="M13" s="40">
        <f t="shared" si="19"/>
        <v>10</v>
      </c>
      <c r="N13" s="40">
        <f t="shared" si="19"/>
        <v>5</v>
      </c>
      <c r="O13" s="40">
        <f t="shared" si="19"/>
        <v>11</v>
      </c>
      <c r="P13" s="40">
        <f t="shared" si="19"/>
        <v>7</v>
      </c>
      <c r="Q13" s="40">
        <f t="shared" si="19"/>
        <v>6</v>
      </c>
      <c r="R13" s="40">
        <f t="shared" si="19"/>
        <v>7</v>
      </c>
      <c r="S13" s="40">
        <f t="shared" si="19"/>
        <v>7</v>
      </c>
      <c r="T13" s="40">
        <f t="shared" si="19"/>
        <v>10</v>
      </c>
      <c r="U13" s="40">
        <f t="shared" si="19"/>
        <v>8</v>
      </c>
      <c r="V13" s="40">
        <f t="shared" si="19"/>
        <v>6</v>
      </c>
      <c r="W13" s="40">
        <f t="shared" si="19"/>
        <v>9</v>
      </c>
      <c r="X13" s="40">
        <f t="shared" si="19"/>
        <v>9</v>
      </c>
      <c r="Y13" s="40">
        <f t="shared" si="19"/>
        <v>7</v>
      </c>
      <c r="Z13" s="40">
        <f t="shared" si="19"/>
        <v>9</v>
      </c>
      <c r="AA13" s="40">
        <f t="shared" si="19"/>
        <v>10</v>
      </c>
      <c r="AB13" s="40">
        <f t="shared" si="19"/>
        <v>4</v>
      </c>
      <c r="AC13" s="40">
        <f t="shared" si="19"/>
        <v>5</v>
      </c>
      <c r="AD13" s="40">
        <f t="shared" si="19"/>
        <v>7</v>
      </c>
      <c r="AE13" s="40">
        <f t="shared" si="19"/>
        <v>10</v>
      </c>
      <c r="AF13" s="40">
        <f t="shared" si="19"/>
        <v>7</v>
      </c>
      <c r="AG13" s="40">
        <f t="shared" si="19"/>
        <v>5</v>
      </c>
      <c r="AH13" s="40">
        <f t="shared" si="19"/>
        <v>7</v>
      </c>
      <c r="AI13" s="37"/>
      <c r="AJ13" s="32"/>
      <c r="AK13" s="32"/>
      <c r="AL13" s="33"/>
      <c r="AM13" s="34">
        <f t="shared" ref="AM13:BB13" ca="1" si="20">SUM(AM3:AM12)</f>
        <v>1800</v>
      </c>
      <c r="AN13" s="34">
        <f t="shared" si="20"/>
        <v>148</v>
      </c>
      <c r="AO13" s="34">
        <f t="shared" si="20"/>
        <v>711</v>
      </c>
      <c r="AP13" s="34">
        <f t="shared" si="20"/>
        <v>469</v>
      </c>
      <c r="AQ13" s="34">
        <f t="shared" si="20"/>
        <v>72</v>
      </c>
      <c r="AR13" s="34">
        <f t="shared" si="20"/>
        <v>209</v>
      </c>
      <c r="AS13" s="34">
        <f t="shared" si="20"/>
        <v>60</v>
      </c>
      <c r="AT13" s="34">
        <f t="shared" si="20"/>
        <v>900</v>
      </c>
      <c r="AU13" s="35">
        <f t="shared" si="20"/>
        <v>3</v>
      </c>
      <c r="AV13" s="34">
        <f t="shared" si="20"/>
        <v>12269.45</v>
      </c>
      <c r="AW13" s="34">
        <f t="shared" si="20"/>
        <v>7050</v>
      </c>
      <c r="AX13" s="34">
        <f t="shared" si="20"/>
        <v>626945</v>
      </c>
      <c r="AY13" s="34">
        <f t="shared" si="20"/>
        <v>188347.84999999998</v>
      </c>
      <c r="AZ13" s="34">
        <f t="shared" si="20"/>
        <v>24485.220500000003</v>
      </c>
      <c r="BA13" s="34">
        <f t="shared" si="20"/>
        <v>163862.62949999998</v>
      </c>
      <c r="BB13" s="34">
        <f t="shared" si="20"/>
        <v>49158.788849999997</v>
      </c>
      <c r="BC13" s="36">
        <f>AVERAGE(BC3:BC12)</f>
        <v>11470.384064999998</v>
      </c>
    </row>
    <row r="16" spans="1:55" ht="15.75">
      <c r="B16" s="7" t="s">
        <v>48</v>
      </c>
      <c r="C16">
        <v>3</v>
      </c>
    </row>
    <row r="19" spans="1:38">
      <c r="A19" s="1" t="s">
        <v>23</v>
      </c>
      <c r="B19" s="1" t="s">
        <v>24</v>
      </c>
      <c r="D19" s="1" t="s">
        <v>25</v>
      </c>
      <c r="AK19" s="18"/>
      <c r="AL19" s="18"/>
    </row>
    <row r="20" spans="1:38">
      <c r="A20" s="9">
        <v>1</v>
      </c>
      <c r="B20" s="1" t="s">
        <v>26</v>
      </c>
      <c r="C20" s="1"/>
      <c r="D20" s="1">
        <v>9</v>
      </c>
      <c r="F20" t="s">
        <v>27</v>
      </c>
      <c r="AL20" s="18"/>
    </row>
    <row r="21" spans="1:38">
      <c r="A21" s="9">
        <v>2</v>
      </c>
      <c r="B21" s="1" t="s">
        <v>28</v>
      </c>
      <c r="C21" s="1"/>
      <c r="D21" s="1">
        <v>7</v>
      </c>
      <c r="F21" t="s">
        <v>29</v>
      </c>
    </row>
    <row r="22" spans="1:38" ht="15.75">
      <c r="A22" s="10" t="s">
        <v>48</v>
      </c>
      <c r="B22" s="1" t="s">
        <v>30</v>
      </c>
      <c r="C22" s="1"/>
      <c r="D22" s="1">
        <v>11</v>
      </c>
      <c r="F22" t="s">
        <v>31</v>
      </c>
      <c r="AK22" s="18"/>
      <c r="AL22" s="18"/>
    </row>
    <row r="23" spans="1:38">
      <c r="A23" s="6" t="s">
        <v>8</v>
      </c>
      <c r="B23" s="1" t="s">
        <v>32</v>
      </c>
      <c r="C23" s="1"/>
      <c r="D23" s="1">
        <v>6</v>
      </c>
      <c r="F23" t="s">
        <v>33</v>
      </c>
    </row>
    <row r="24" spans="1:38">
      <c r="A24" s="6" t="s">
        <v>54</v>
      </c>
      <c r="B24" s="8" t="s">
        <v>55</v>
      </c>
      <c r="C24" s="1"/>
      <c r="D24" s="1">
        <v>6</v>
      </c>
      <c r="F24" t="s">
        <v>58</v>
      </c>
    </row>
    <row r="25" spans="1:38">
      <c r="A25" s="6" t="s">
        <v>63</v>
      </c>
      <c r="B25" s="8" t="s">
        <v>64</v>
      </c>
      <c r="C25" s="1"/>
      <c r="D25" s="1">
        <v>0</v>
      </c>
      <c r="F25" t="s">
        <v>65</v>
      </c>
    </row>
    <row r="26" spans="1:38">
      <c r="A26" s="9"/>
      <c r="B26" s="1" t="s">
        <v>34</v>
      </c>
      <c r="C26" s="1"/>
      <c r="D26" s="1">
        <v>0</v>
      </c>
      <c r="F26" t="s">
        <v>35</v>
      </c>
    </row>
    <row r="27" spans="1:38">
      <c r="A27" s="1"/>
      <c r="B27" s="1" t="s">
        <v>36</v>
      </c>
      <c r="C27" s="8" t="s">
        <v>73</v>
      </c>
      <c r="D27" s="1"/>
    </row>
    <row r="28" spans="1:38" ht="18.75">
      <c r="A28" s="9" t="s">
        <v>2</v>
      </c>
      <c r="B28" s="26">
        <v>304.33</v>
      </c>
      <c r="C28" s="27">
        <f>$A$51/5</f>
        <v>125389</v>
      </c>
      <c r="D28" s="1"/>
      <c r="F28" s="3" t="s">
        <v>37</v>
      </c>
    </row>
    <row r="29" spans="1:38" ht="18.75">
      <c r="A29" s="9" t="s">
        <v>4</v>
      </c>
      <c r="B29" s="26">
        <v>190.51</v>
      </c>
      <c r="C29" s="27">
        <f t="shared" ref="C29:C30" si="21">$A$51/5</f>
        <v>125389</v>
      </c>
      <c r="D29" s="1"/>
      <c r="F29" s="3" t="s">
        <v>38</v>
      </c>
    </row>
    <row r="30" spans="1:38" ht="18.75">
      <c r="A30" s="9" t="s">
        <v>6</v>
      </c>
      <c r="B30" s="26">
        <v>230.88</v>
      </c>
      <c r="C30" s="27">
        <f t="shared" si="21"/>
        <v>125389</v>
      </c>
      <c r="D30" s="1"/>
      <c r="F30" s="3" t="s">
        <v>39</v>
      </c>
    </row>
    <row r="31" spans="1:38" ht="18.75">
      <c r="A31" s="9" t="s">
        <v>9</v>
      </c>
      <c r="B31" s="26">
        <v>212.16</v>
      </c>
      <c r="C31" s="1"/>
      <c r="D31" s="1"/>
      <c r="F31" s="4" t="s">
        <v>40</v>
      </c>
    </row>
    <row r="32" spans="1:38" ht="18.75">
      <c r="A32" s="9" t="s">
        <v>11</v>
      </c>
      <c r="B32" s="26">
        <v>259.06</v>
      </c>
      <c r="C32" s="1"/>
      <c r="D32" s="1"/>
      <c r="F32" s="5" t="s">
        <v>41</v>
      </c>
    </row>
    <row r="33" spans="1:6" ht="18.75">
      <c r="A33" s="9" t="s">
        <v>14</v>
      </c>
      <c r="B33" s="26">
        <v>179.74</v>
      </c>
      <c r="C33" s="1"/>
      <c r="D33" s="1"/>
      <c r="F33" s="5" t="s">
        <v>42</v>
      </c>
    </row>
    <row r="34" spans="1:6" ht="18.75">
      <c r="A34" s="9" t="s">
        <v>16</v>
      </c>
      <c r="B34" s="26">
        <v>117.84</v>
      </c>
      <c r="C34" s="2"/>
      <c r="D34" s="1"/>
      <c r="F34" s="5" t="s">
        <v>43</v>
      </c>
    </row>
    <row r="35" spans="1:6" ht="18.75">
      <c r="A35" s="9" t="s">
        <v>18</v>
      </c>
      <c r="B35" s="26">
        <v>69.98</v>
      </c>
      <c r="C35" s="1"/>
      <c r="D35" s="1"/>
      <c r="F35" s="3" t="s">
        <v>44</v>
      </c>
    </row>
    <row r="36" spans="1:6" ht="18.75">
      <c r="A36" s="9" t="s">
        <v>20</v>
      </c>
      <c r="B36" s="26">
        <v>212.16</v>
      </c>
      <c r="C36" s="27">
        <f t="shared" ref="C36:C37" si="22">$A$51/5</f>
        <v>125389</v>
      </c>
      <c r="D36" s="1"/>
      <c r="F36" s="3" t="s">
        <v>45</v>
      </c>
    </row>
    <row r="37" spans="1:6" ht="18.75">
      <c r="A37" s="9" t="s">
        <v>22</v>
      </c>
      <c r="B37" s="26">
        <v>213.53</v>
      </c>
      <c r="C37" s="27">
        <f t="shared" si="22"/>
        <v>125389</v>
      </c>
      <c r="D37" s="1"/>
      <c r="F37" s="5" t="s">
        <v>46</v>
      </c>
    </row>
    <row r="39" spans="1:6">
      <c r="A39" s="46" t="s">
        <v>77</v>
      </c>
      <c r="B39" s="46"/>
      <c r="C39" s="46"/>
    </row>
    <row r="40" spans="1:6" ht="15.75">
      <c r="A40" s="20" t="s">
        <v>79</v>
      </c>
      <c r="B40" s="21" t="s">
        <v>78</v>
      </c>
      <c r="C40" s="8"/>
    </row>
    <row r="41" spans="1:6" ht="15.75">
      <c r="A41" s="22" t="s">
        <v>76</v>
      </c>
      <c r="B41" s="11">
        <v>500</v>
      </c>
      <c r="C41" s="8"/>
      <c r="F41" s="7" t="s">
        <v>72</v>
      </c>
    </row>
    <row r="42" spans="1:6" ht="15.75">
      <c r="A42" s="22" t="s">
        <v>76</v>
      </c>
      <c r="B42" s="11">
        <v>500</v>
      </c>
      <c r="C42" s="8"/>
      <c r="F42" s="7" t="s">
        <v>68</v>
      </c>
    </row>
    <row r="43" spans="1:6" ht="15.75">
      <c r="A43" s="22" t="s">
        <v>76</v>
      </c>
      <c r="B43" s="11">
        <v>1000</v>
      </c>
      <c r="C43" s="8"/>
      <c r="F43" s="7" t="s">
        <v>66</v>
      </c>
    </row>
    <row r="44" spans="1:6" ht="15.75">
      <c r="A44" s="22" t="s">
        <v>76</v>
      </c>
      <c r="B44" s="11">
        <v>500</v>
      </c>
      <c r="C44" s="8"/>
      <c r="F44" s="7" t="s">
        <v>67</v>
      </c>
    </row>
    <row r="45" spans="1:6" ht="15.75">
      <c r="A45" s="22" t="s">
        <v>80</v>
      </c>
      <c r="B45" s="11">
        <v>1000</v>
      </c>
      <c r="C45" s="8"/>
      <c r="F45" s="7" t="s">
        <v>82</v>
      </c>
    </row>
    <row r="46" spans="1:6" ht="15.75">
      <c r="A46" s="23" t="s">
        <v>80</v>
      </c>
      <c r="B46" s="24">
        <v>450</v>
      </c>
      <c r="F46" s="7" t="s">
        <v>83</v>
      </c>
    </row>
    <row r="47" spans="1:6" ht="15.75">
      <c r="F47" s="7"/>
    </row>
    <row r="50" spans="1:2">
      <c r="A50" s="8" t="s">
        <v>73</v>
      </c>
      <c r="B50" s="8"/>
    </row>
    <row r="51" spans="1:2">
      <c r="A51" s="19">
        <v>626945</v>
      </c>
      <c r="B51" s="19">
        <f>SUM(AX3:AX12)</f>
        <v>626945</v>
      </c>
    </row>
    <row r="52" spans="1:2">
      <c r="A52" s="8" t="s">
        <v>74</v>
      </c>
      <c r="B52" s="8" t="s">
        <v>75</v>
      </c>
    </row>
    <row r="53" spans="1:2">
      <c r="A53" s="19">
        <v>32908</v>
      </c>
      <c r="B53" s="19">
        <v>32944.85</v>
      </c>
    </row>
    <row r="54" spans="1:2">
      <c r="A54" s="19"/>
      <c r="B54" s="19"/>
    </row>
  </sheetData>
  <mergeCells count="23">
    <mergeCell ref="BB1:BB2"/>
    <mergeCell ref="BA1:BA2"/>
    <mergeCell ref="BC1:BC2"/>
    <mergeCell ref="AL1:AL2"/>
    <mergeCell ref="AZ1:AZ2"/>
    <mergeCell ref="AX1:AX2"/>
    <mergeCell ref="AY1:AY2"/>
    <mergeCell ref="AW1:AW2"/>
    <mergeCell ref="A39:C39"/>
    <mergeCell ref="AU1:AU2"/>
    <mergeCell ref="AJ1:AJ2"/>
    <mergeCell ref="AK1:AK2"/>
    <mergeCell ref="AV1:AV2"/>
    <mergeCell ref="AT1:AT2"/>
    <mergeCell ref="AO1:AO2"/>
    <mergeCell ref="AN1:AN2"/>
    <mergeCell ref="AM1:AM2"/>
    <mergeCell ref="AQ1:AQ2"/>
    <mergeCell ref="AP1:AP2"/>
    <mergeCell ref="AR1:AR2"/>
    <mergeCell ref="AS1:AS2"/>
    <mergeCell ref="D1:AH1"/>
    <mergeCell ref="A13:C13"/>
  </mergeCells>
  <conditionalFormatting sqref="K3:K11 N3:N4 O3:O9 Q5:Q12 H6:H12 P3:P12 O12 Q3 D3:G12 N9:N12 H3:H4 N7 I3:J12 U12 T9:T12 T3:T7 S12 U3:U10 R3:R12 S3:S10 V3:X12 Y8:Y12 Y3:Y6 Z3:AB12 AC9:AC12 AC3 AC5:AC7 AE9:AE12 AD3:AD5 AD7:AD11 AE3:AE7 AF3:AF12 AH3:AH12 AG3:AG10 AG12 L3:M12">
    <cfRule type="cellIs" dxfId="10" priority="18" operator="equal">
      <formula>$AU$112</formula>
    </cfRule>
  </conditionalFormatting>
  <conditionalFormatting sqref="D3:AH12">
    <cfRule type="cellIs" dxfId="9" priority="8" operator="equal">
      <formula>"Н"</formula>
    </cfRule>
    <cfRule type="cellIs" dxfId="8" priority="11" operator="equal">
      <formula>"з"</formula>
    </cfRule>
    <cfRule type="cellIs" dxfId="7" priority="7" operator="equal">
      <formula>1</formula>
    </cfRule>
    <cfRule type="cellIs" dxfId="6" priority="6" operator="equal">
      <formula>2</formula>
    </cfRule>
    <cfRule type="cellIs" dxfId="5" priority="5" operator="equal">
      <formula>"з"</formula>
    </cfRule>
    <cfRule type="cellIs" dxfId="4" priority="4" operator="equal">
      <formula>"з"</formula>
    </cfRule>
    <cfRule type="cellIs" dxfId="3" priority="3" operator="equal">
      <formula>"П"</formula>
    </cfRule>
    <cfRule type="cellIs" dxfId="2" priority="2" operator="equal">
      <formula>"-"</formula>
    </cfRule>
    <cfRule type="cellIs" dxfId="1" priority="1" operator="equal">
      <formula>"Н"</formula>
    </cfRule>
  </conditionalFormatting>
  <conditionalFormatting sqref="L3:L12">
    <cfRule type="cellIs" dxfId="0" priority="10" operator="equal">
      <formula>"П"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LibreOffice/6.1.0.3$Windows_X86_64 LibreOffice_project/efb621ed25068d70781dc026f7e9c5187a4decd1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cp:revision>2</cp:revision>
  <dcterms:created xsi:type="dcterms:W3CDTF">2006-09-28T05:33:49Z</dcterms:created>
  <dcterms:modified xsi:type="dcterms:W3CDTF">2021-06-10T11:11:02Z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