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6" windowWidth="20736" windowHeight="9636"/>
  </bookViews>
  <sheets>
    <sheet name="seq_information" sheetId="11" r:id="rId1"/>
  </sheets>
  <definedNames>
    <definedName name="_xlnm._FilterDatabase" localSheetId="0" hidden="1">seq_information!$A$5:$L$55</definedName>
  </definedNames>
  <calcPr calcId="144525"/>
</workbook>
</file>

<file path=xl/calcChain.xml><?xml version="1.0" encoding="utf-8"?>
<calcChain xmlns="http://schemas.openxmlformats.org/spreadsheetml/2006/main">
  <c r="M60" i="11" l="1"/>
  <c r="L60" i="11"/>
  <c r="N60" i="11" s="1"/>
  <c r="M59" i="11"/>
  <c r="L59" i="11"/>
  <c r="N59" i="11" s="1"/>
  <c r="M58" i="11"/>
  <c r="L58" i="11"/>
  <c r="N58" i="11" s="1"/>
  <c r="M57" i="11"/>
  <c r="L57" i="11"/>
  <c r="N57" i="11" s="1"/>
  <c r="M56" i="11"/>
  <c r="L56" i="11"/>
  <c r="N56" i="11" s="1"/>
  <c r="M55" i="11"/>
  <c r="L55" i="11"/>
  <c r="N55" i="11" s="1"/>
  <c r="M54" i="11"/>
  <c r="L54" i="11"/>
  <c r="N54" i="11" s="1"/>
  <c r="M53" i="11"/>
  <c r="L53" i="11"/>
  <c r="N53" i="11" s="1"/>
  <c r="M52" i="11"/>
  <c r="L52" i="11"/>
  <c r="N52" i="11" s="1"/>
  <c r="M51" i="11"/>
  <c r="L51" i="11"/>
  <c r="N51" i="11" s="1"/>
  <c r="M50" i="11"/>
  <c r="L50" i="11"/>
  <c r="N50" i="11" s="1"/>
  <c r="M49" i="11"/>
  <c r="L49" i="11"/>
  <c r="N49" i="11" s="1"/>
  <c r="M48" i="11"/>
  <c r="L48" i="11"/>
  <c r="N48" i="11" s="1"/>
  <c r="M47" i="11"/>
  <c r="L47" i="11"/>
  <c r="N47" i="11" s="1"/>
  <c r="M46" i="11"/>
  <c r="L46" i="11"/>
  <c r="N46" i="11" s="1"/>
  <c r="M45" i="11"/>
  <c r="L45" i="11"/>
  <c r="N45" i="11" s="1"/>
  <c r="M44" i="11"/>
  <c r="L44" i="11"/>
  <c r="N44" i="11" s="1"/>
  <c r="M43" i="11"/>
  <c r="L43" i="11"/>
  <c r="N43" i="11" s="1"/>
  <c r="M42" i="11"/>
  <c r="L42" i="11"/>
  <c r="N42" i="11" s="1"/>
  <c r="M41" i="11"/>
  <c r="L41" i="11"/>
  <c r="N41" i="11" s="1"/>
  <c r="M40" i="11"/>
  <c r="L40" i="11"/>
  <c r="N40" i="11" s="1"/>
  <c r="M39" i="11"/>
  <c r="L39" i="11"/>
  <c r="N39" i="11" s="1"/>
  <c r="M38" i="11"/>
  <c r="L38" i="11"/>
  <c r="N38" i="11" s="1"/>
  <c r="M37" i="11"/>
  <c r="L37" i="11"/>
  <c r="N37" i="11" s="1"/>
  <c r="M36" i="11"/>
  <c r="L36" i="11"/>
  <c r="N36" i="11" s="1"/>
  <c r="M35" i="11"/>
  <c r="L35" i="11"/>
  <c r="N35" i="11" s="1"/>
  <c r="M34" i="11"/>
  <c r="L34" i="11"/>
  <c r="N34" i="11" s="1"/>
  <c r="M33" i="11"/>
  <c r="L33" i="11"/>
  <c r="N33" i="11" s="1"/>
  <c r="M32" i="11"/>
  <c r="L32" i="11"/>
  <c r="N32" i="11" s="1"/>
  <c r="M31" i="11"/>
  <c r="L31" i="11"/>
  <c r="N31" i="11" s="1"/>
  <c r="M30" i="11"/>
  <c r="L30" i="11"/>
  <c r="N30" i="11" s="1"/>
  <c r="M29" i="11"/>
  <c r="L29" i="11"/>
  <c r="N29" i="11" s="1"/>
  <c r="M28" i="11"/>
  <c r="L28" i="11"/>
  <c r="N28" i="11" s="1"/>
  <c r="M27" i="11"/>
  <c r="L27" i="11"/>
  <c r="N27" i="11" s="1"/>
  <c r="M26" i="11"/>
  <c r="L26" i="11"/>
  <c r="N26" i="11" s="1"/>
  <c r="M25" i="11"/>
  <c r="L25" i="11"/>
  <c r="N25" i="11" s="1"/>
  <c r="M24" i="11"/>
  <c r="L24" i="11"/>
  <c r="N24" i="11" s="1"/>
  <c r="M23" i="11"/>
  <c r="L23" i="11"/>
  <c r="N23" i="11" s="1"/>
  <c r="M22" i="11"/>
  <c r="L22" i="11"/>
  <c r="N22" i="11" s="1"/>
  <c r="M21" i="11"/>
  <c r="L21" i="11"/>
  <c r="N21" i="11" s="1"/>
  <c r="M20" i="11"/>
  <c r="L20" i="11"/>
  <c r="N20" i="11" s="1"/>
  <c r="M19" i="11"/>
  <c r="L19" i="11"/>
  <c r="N19" i="11" s="1"/>
  <c r="M18" i="11"/>
  <c r="L18" i="11"/>
  <c r="N18" i="11" s="1"/>
  <c r="M17" i="11"/>
  <c r="L17" i="11"/>
  <c r="N17" i="11" s="1"/>
  <c r="M16" i="11"/>
  <c r="L16" i="11"/>
  <c r="N16" i="11" s="1"/>
  <c r="M15" i="11"/>
  <c r="L15" i="11"/>
  <c r="N15" i="11" s="1"/>
  <c r="M14" i="11"/>
  <c r="L14" i="11"/>
  <c r="N14" i="11" s="1"/>
  <c r="M13" i="11"/>
  <c r="L13" i="11"/>
  <c r="N13" i="11" s="1"/>
  <c r="M12" i="11"/>
  <c r="L12" i="11"/>
  <c r="N12" i="11" s="1"/>
  <c r="M11" i="11"/>
  <c r="L11" i="11"/>
  <c r="N11" i="11" s="1"/>
  <c r="M10" i="11"/>
  <c r="L10" i="11"/>
  <c r="N10" i="11" s="1"/>
  <c r="M9" i="11"/>
  <c r="L9" i="11"/>
  <c r="N9" i="11" s="1"/>
  <c r="M8" i="11"/>
  <c r="L8" i="11"/>
  <c r="N8" i="11" s="1"/>
  <c r="M7" i="11"/>
  <c r="L7" i="11"/>
  <c r="L61" i="11" s="1"/>
  <c r="M6" i="11"/>
  <c r="M61" i="11" s="1"/>
  <c r="L6" i="11"/>
  <c r="N6" i="11" s="1"/>
  <c r="N61" i="11" l="1"/>
  <c r="N7" i="11"/>
  <c r="U60" i="11" l="1"/>
  <c r="U59" i="11"/>
  <c r="U58" i="11"/>
  <c r="U57" i="11"/>
  <c r="U56" i="11"/>
  <c r="T60" i="11"/>
  <c r="T59" i="11"/>
  <c r="T58" i="11"/>
  <c r="T57" i="11"/>
  <c r="T56" i="11"/>
  <c r="V57" i="11" l="1"/>
  <c r="V56" i="11"/>
  <c r="V58" i="11"/>
  <c r="V60" i="11"/>
  <c r="V59" i="11"/>
  <c r="U6" i="11" l="1"/>
  <c r="U7" i="11"/>
  <c r="U9" i="11"/>
  <c r="K46" i="11" l="1"/>
  <c r="T46" i="11" l="1"/>
  <c r="U46" i="11"/>
  <c r="U53" i="11"/>
  <c r="U52" i="11"/>
  <c r="U51" i="11"/>
  <c r="U50" i="11"/>
  <c r="U49" i="11"/>
  <c r="U47" i="11"/>
  <c r="U45" i="11"/>
  <c r="U42" i="11"/>
  <c r="U41" i="11"/>
  <c r="U39" i="11"/>
  <c r="U38" i="11"/>
  <c r="U37" i="11"/>
  <c r="U36" i="11"/>
  <c r="U35" i="11"/>
  <c r="U34" i="11"/>
  <c r="U31" i="11"/>
  <c r="U32" i="11"/>
  <c r="U24" i="11"/>
  <c r="U30" i="11"/>
  <c r="U29" i="11"/>
  <c r="U28" i="11"/>
  <c r="U27" i="11"/>
  <c r="U25" i="11"/>
  <c r="U21" i="11"/>
  <c r="U19" i="11"/>
  <c r="U18" i="11"/>
  <c r="U16" i="11"/>
  <c r="U15" i="11"/>
  <c r="U13" i="11"/>
  <c r="U11" i="11"/>
  <c r="K48" i="11"/>
  <c r="K43" i="11"/>
  <c r="T48" i="11" l="1"/>
  <c r="U43" i="11"/>
  <c r="V46" i="11"/>
  <c r="T43" i="11"/>
  <c r="U48" i="11"/>
  <c r="V48" i="11" l="1"/>
  <c r="V43" i="11"/>
  <c r="T53" i="11" l="1"/>
  <c r="V53" i="11" s="1"/>
  <c r="T52" i="11"/>
  <c r="V52" i="11" s="1"/>
  <c r="T51" i="11"/>
  <c r="V51" i="11" s="1"/>
  <c r="T50" i="11"/>
  <c r="V50" i="11" s="1"/>
  <c r="T49" i="11"/>
  <c r="V49" i="11" s="1"/>
  <c r="T47" i="11"/>
  <c r="V47" i="11" s="1"/>
  <c r="T45" i="11"/>
  <c r="V45" i="11" s="1"/>
  <c r="T42" i="11"/>
  <c r="V42" i="11" s="1"/>
  <c r="T41" i="11"/>
  <c r="V41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5" i="11"/>
  <c r="V25" i="11" s="1"/>
  <c r="T24" i="11"/>
  <c r="V24" i="11" s="1"/>
  <c r="T21" i="11"/>
  <c r="V21" i="11" s="1"/>
  <c r="T19" i="11"/>
  <c r="V19" i="11" s="1"/>
  <c r="T18" i="11"/>
  <c r="V18" i="11" s="1"/>
  <c r="T16" i="11"/>
  <c r="V16" i="11" s="1"/>
  <c r="T15" i="11"/>
  <c r="V15" i="11" s="1"/>
  <c r="T13" i="11"/>
  <c r="V13" i="11" s="1"/>
  <c r="T11" i="11"/>
  <c r="V11" i="11" s="1"/>
  <c r="T9" i="11"/>
  <c r="V9" i="11" s="1"/>
  <c r="T7" i="11"/>
  <c r="V7" i="11" s="1"/>
  <c r="T6" i="11"/>
  <c r="V6" i="11" l="1"/>
  <c r="K55" i="11"/>
  <c r="K54" i="11"/>
  <c r="K26" i="11"/>
  <c r="K23" i="11"/>
  <c r="K20" i="11"/>
  <c r="K17" i="11"/>
  <c r="K12" i="11"/>
  <c r="K10" i="11"/>
  <c r="K8" i="11"/>
  <c r="K14" i="11"/>
  <c r="K44" i="11"/>
  <c r="K40" i="11"/>
  <c r="K33" i="11"/>
  <c r="K22" i="11"/>
  <c r="U8" i="11" l="1"/>
  <c r="U22" i="11"/>
  <c r="T22" i="11"/>
  <c r="U40" i="11"/>
  <c r="T40" i="11"/>
  <c r="U14" i="11"/>
  <c r="T14" i="11"/>
  <c r="U10" i="11"/>
  <c r="T10" i="11"/>
  <c r="U17" i="11"/>
  <c r="T17" i="11"/>
  <c r="U23" i="11"/>
  <c r="T23" i="11"/>
  <c r="U54" i="11"/>
  <c r="T54" i="11"/>
  <c r="U33" i="11"/>
  <c r="T33" i="11"/>
  <c r="U44" i="11"/>
  <c r="T44" i="11"/>
  <c r="T8" i="11"/>
  <c r="U12" i="11"/>
  <c r="T12" i="11"/>
  <c r="V12" i="11" s="1"/>
  <c r="U20" i="11"/>
  <c r="T20" i="11"/>
  <c r="V20" i="11" s="1"/>
  <c r="U26" i="11"/>
  <c r="T26" i="11"/>
  <c r="V26" i="11" s="1"/>
  <c r="U55" i="11"/>
  <c r="T55" i="11"/>
  <c r="V55" i="11" s="1"/>
  <c r="U61" i="11" l="1"/>
  <c r="V8" i="11"/>
  <c r="T61" i="11"/>
  <c r="V44" i="11"/>
  <c r="V33" i="11"/>
  <c r="V54" i="11"/>
  <c r="V23" i="11"/>
  <c r="V17" i="11"/>
  <c r="V10" i="11"/>
  <c r="V14" i="11"/>
  <c r="V40" i="11"/>
  <c r="V22" i="11"/>
  <c r="V61" i="11" l="1"/>
</calcChain>
</file>

<file path=xl/sharedStrings.xml><?xml version="1.0" encoding="utf-8"?>
<sst xmlns="http://schemas.openxmlformats.org/spreadsheetml/2006/main" count="269" uniqueCount="248">
  <si>
    <t>S10</t>
  </si>
  <si>
    <t>S11</t>
  </si>
  <si>
    <t>S12</t>
  </si>
  <si>
    <t>S13</t>
  </si>
  <si>
    <t>S14</t>
  </si>
  <si>
    <t>NC_000023</t>
  </si>
  <si>
    <t>Pan troglodytes</t>
  </si>
  <si>
    <t>NC_006474</t>
  </si>
  <si>
    <t>NC_000085</t>
  </si>
  <si>
    <t>NC_006099</t>
  </si>
  <si>
    <t>Anolis carolinensis</t>
  </si>
  <si>
    <t>NC_014777</t>
  </si>
  <si>
    <t>Danio rerio</t>
  </si>
  <si>
    <t>NC_007135</t>
  </si>
  <si>
    <t>Drosophila melanogaster</t>
  </si>
  <si>
    <t>NT_033778</t>
  </si>
  <si>
    <t>Anopheles gambiae</t>
  </si>
  <si>
    <t>NT_078267</t>
  </si>
  <si>
    <t>Caenorhabditis elegans</t>
  </si>
  <si>
    <t>Arabidopsis thaliana</t>
  </si>
  <si>
    <t>NC_003070</t>
  </si>
  <si>
    <t>NC_008401</t>
  </si>
  <si>
    <t>NC_001137</t>
  </si>
  <si>
    <t>NC_017844</t>
  </si>
  <si>
    <t>Aspergillus fumigatus</t>
  </si>
  <si>
    <t>NC_007194</t>
  </si>
  <si>
    <t>S15</t>
  </si>
  <si>
    <t>Cryptococcus neoformans</t>
  </si>
  <si>
    <t>NC_006679</t>
  </si>
  <si>
    <t>S16</t>
  </si>
  <si>
    <t>Encephalitozoon cuniculi</t>
  </si>
  <si>
    <t>NC_003237</t>
  </si>
  <si>
    <t>S17</t>
  </si>
  <si>
    <t>Dictyostelium discoideum</t>
  </si>
  <si>
    <t>NC_007087</t>
  </si>
  <si>
    <t>S18</t>
  </si>
  <si>
    <t>Plasmodium vivax</t>
  </si>
  <si>
    <t>NC_009917</t>
  </si>
  <si>
    <t>S19</t>
  </si>
  <si>
    <t>Paramecium tetraurelia</t>
  </si>
  <si>
    <t>NC_006058</t>
  </si>
  <si>
    <t>S20</t>
  </si>
  <si>
    <t>Leishmania infantum</t>
  </si>
  <si>
    <t>NC_009408</t>
  </si>
  <si>
    <t>S21</t>
  </si>
  <si>
    <t>Escherichia coli</t>
  </si>
  <si>
    <t>NC_011750</t>
  </si>
  <si>
    <t>S22</t>
  </si>
  <si>
    <t>S23</t>
  </si>
  <si>
    <t>S24</t>
  </si>
  <si>
    <t>Rickettsia conorii</t>
  </si>
  <si>
    <t>NC_003103</t>
  </si>
  <si>
    <t>S25</t>
  </si>
  <si>
    <t>S26</t>
  </si>
  <si>
    <t>Mycoplasma arthritidis</t>
  </si>
  <si>
    <t>NC_011025</t>
  </si>
  <si>
    <t>S27</t>
  </si>
  <si>
    <t>S28</t>
  </si>
  <si>
    <t>NC_013799</t>
  </si>
  <si>
    <t>S29</t>
  </si>
  <si>
    <t>Methanococcus aeolicus</t>
  </si>
  <si>
    <t>NC_009635</t>
  </si>
  <si>
    <t>S30</t>
  </si>
  <si>
    <t>Sulfolobus tokodaii</t>
  </si>
  <si>
    <t>NC_003106</t>
  </si>
  <si>
    <t>S31</t>
  </si>
  <si>
    <t>NC_000852</t>
  </si>
  <si>
    <t>S32</t>
  </si>
  <si>
    <t>Ranid herpesvirus 1</t>
  </si>
  <si>
    <t>NC_008211</t>
  </si>
  <si>
    <t>S33</t>
  </si>
  <si>
    <t>Oryctolagus cuniculus</t>
  </si>
  <si>
    <t>NC_013675</t>
  </si>
  <si>
    <t>Animals</t>
  </si>
  <si>
    <t>Vertebrates</t>
  </si>
  <si>
    <t>Mammals</t>
  </si>
  <si>
    <t>Species Name</t>
  </si>
  <si>
    <t>chr. X</t>
  </si>
  <si>
    <t>chr. 7</t>
  </si>
  <si>
    <t xml:space="preserve">Mus musculus </t>
  </si>
  <si>
    <t>chr. 19</t>
  </si>
  <si>
    <t>Ovis aries</t>
  </si>
  <si>
    <t>chr.6</t>
  </si>
  <si>
    <t xml:space="preserve">Equus caballus </t>
  </si>
  <si>
    <t>chr.19</t>
  </si>
  <si>
    <t>NC_009162</t>
  </si>
  <si>
    <t>Felis catus</t>
  </si>
  <si>
    <t>Birds</t>
  </si>
  <si>
    <t xml:space="preserve">Gallus gallus </t>
  </si>
  <si>
    <t>chr. 12</t>
  </si>
  <si>
    <t>Taeniopygia guttata</t>
  </si>
  <si>
    <t>chr.8</t>
  </si>
  <si>
    <t>NC_011472</t>
  </si>
  <si>
    <t>Reptiles</t>
  </si>
  <si>
    <t>chr. 2</t>
  </si>
  <si>
    <t>Xenopus laevis</t>
  </si>
  <si>
    <t>Fishes</t>
  </si>
  <si>
    <t>chr. 24</t>
  </si>
  <si>
    <t>Arthropods</t>
  </si>
  <si>
    <t>Insects</t>
  </si>
  <si>
    <t>chr. 2R</t>
  </si>
  <si>
    <t>chr. 3L</t>
  </si>
  <si>
    <t>Apis mellifera</t>
  </si>
  <si>
    <t>chr.LG11</t>
  </si>
  <si>
    <t>NC_007080</t>
  </si>
  <si>
    <t>Nematodes</t>
  </si>
  <si>
    <t>chr. I</t>
  </si>
  <si>
    <t>Plants</t>
  </si>
  <si>
    <t>Eudicots</t>
  </si>
  <si>
    <t>chr. 1</t>
  </si>
  <si>
    <t>Citrus sinensis</t>
  </si>
  <si>
    <t>chr.1</t>
  </si>
  <si>
    <t>NC_023046</t>
  </si>
  <si>
    <t xml:space="preserve">Theobroma cacao </t>
  </si>
  <si>
    <t>chr.3</t>
  </si>
  <si>
    <t>NC_023623</t>
  </si>
  <si>
    <t>Glycine max</t>
  </si>
  <si>
    <t>chr.18</t>
  </si>
  <si>
    <t>NC_016105</t>
  </si>
  <si>
    <t>Cucumis sativus</t>
  </si>
  <si>
    <t>Vitis vinifera</t>
  </si>
  <si>
    <t>chr.15</t>
  </si>
  <si>
    <t>NC_012021</t>
  </si>
  <si>
    <t>Solanum lycopersicum</t>
  </si>
  <si>
    <t>chr.5</t>
  </si>
  <si>
    <t>NC_015442</t>
  </si>
  <si>
    <t>Beta vulgaris</t>
  </si>
  <si>
    <t>chr.4</t>
  </si>
  <si>
    <t>NC_025815</t>
  </si>
  <si>
    <t>Monocots</t>
  </si>
  <si>
    <t>chr. 8</t>
  </si>
  <si>
    <t>chr. V</t>
  </si>
  <si>
    <t>Candida glabrata</t>
  </si>
  <si>
    <t>chr.D</t>
  </si>
  <si>
    <t>Neurospora crassa</t>
  </si>
  <si>
    <t>chr.V</t>
  </si>
  <si>
    <t>chr. 10</t>
  </si>
  <si>
    <t>chr. XI</t>
  </si>
  <si>
    <t xml:space="preserve">Hydrogenobacter thermophilus </t>
  </si>
  <si>
    <t>Genome Size (Mb)</t>
    <phoneticPr fontId="6" type="noConversion"/>
  </si>
  <si>
    <t>Fungus</t>
    <phoneticPr fontId="6" type="noConversion"/>
  </si>
  <si>
    <t>Protists</t>
    <phoneticPr fontId="6" type="noConversion"/>
  </si>
  <si>
    <t>Bacteria</t>
    <phoneticPr fontId="6" type="noConversion"/>
  </si>
  <si>
    <t>Archaea</t>
    <phoneticPr fontId="6" type="noConversion"/>
  </si>
  <si>
    <t>Virus</t>
    <phoneticPr fontId="6" type="noConversion"/>
  </si>
  <si>
    <t>NC_006027</t>
    <phoneticPr fontId="6" type="noConversion"/>
  </si>
  <si>
    <t>NC_026505</t>
    <phoneticPr fontId="6" type="noConversion"/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</si>
  <si>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</si>
  <si>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</si>
  <si>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</si>
  <si>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</si>
  <si>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</si>
  <si>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</si>
  <si>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</si>
  <si>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</si>
  <si>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</si>
  <si>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</si>
  <si>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</si>
  <si>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</si>
  <si>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</si>
  <si>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</si>
  <si>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</si>
  <si>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NC_019463</t>
    <phoneticPr fontId="6" type="noConversion"/>
  </si>
  <si>
    <t>chr.C1</t>
    <phoneticPr fontId="6" type="noConversion"/>
  </si>
  <si>
    <t>NC_018730</t>
  </si>
  <si>
    <t>chr.1</t>
    <phoneticPr fontId="6" type="noConversion"/>
  </si>
  <si>
    <t>Amphibians</t>
    <phoneticPr fontId="6" type="noConversion"/>
  </si>
  <si>
    <t>CM004473</t>
  </si>
  <si>
    <t>NC_026655</t>
  </si>
  <si>
    <t>S49</t>
  </si>
  <si>
    <t>S50</t>
  </si>
  <si>
    <t>X17403</t>
  </si>
  <si>
    <t xml:space="preserve"> Human cytomegalovirus</t>
    <phoneticPr fontId="6" type="noConversion"/>
  </si>
  <si>
    <t>Human herpesvirus 5</t>
    <phoneticPr fontId="6" type="noConversion"/>
  </si>
  <si>
    <t xml:space="preserve">AY446894 </t>
  </si>
  <si>
    <t>Homo sapiens</t>
    <phoneticPr fontId="6" type="noConversion"/>
  </si>
  <si>
    <r>
      <t>T</t>
    </r>
    <r>
      <rPr>
        <b/>
        <sz val="11"/>
        <rFont val="Times New Roman"/>
        <family val="1"/>
      </rPr>
      <t>axonomy</t>
    </r>
    <phoneticPr fontId="6" type="noConversion"/>
  </si>
  <si>
    <t>Oryza sativa</t>
    <phoneticPr fontId="6" type="noConversion"/>
  </si>
  <si>
    <t>Saccharomyces cerevisiae</t>
    <phoneticPr fontId="6" type="noConversion"/>
  </si>
  <si>
    <t>Paramecium bursaria Chlorella virus 1</t>
    <phoneticPr fontId="6" type="noConversion"/>
  </si>
  <si>
    <t>stain J 
chr. 4S</t>
    <phoneticPr fontId="6" type="noConversion"/>
  </si>
  <si>
    <t>NC_003279</t>
    <phoneticPr fontId="6" type="noConversion"/>
  </si>
  <si>
    <t>NZ_CP029206</t>
    <phoneticPr fontId="6" type="noConversion"/>
  </si>
  <si>
    <t>NC_013895</t>
    <phoneticPr fontId="6" type="noConversion"/>
  </si>
  <si>
    <t>NC_015318</t>
    <phoneticPr fontId="6" type="noConversion"/>
  </si>
  <si>
    <t>NC_014734</t>
    <phoneticPr fontId="6" type="noConversion"/>
  </si>
  <si>
    <t>Standard A group</t>
    <phoneticPr fontId="6" type="noConversion"/>
  </si>
  <si>
    <t>Pyricularia oryzae</t>
    <phoneticPr fontId="6" type="noConversion"/>
  </si>
  <si>
    <t>Mageeibacillus indolicus</t>
    <phoneticPr fontId="6" type="noConversion"/>
  </si>
  <si>
    <t>Actinobacillus porcitonsillarum</t>
    <phoneticPr fontId="6" type="noConversion"/>
  </si>
  <si>
    <t>Paludibacter propionicigenes</t>
    <phoneticPr fontId="6" type="noConversion"/>
  </si>
  <si>
    <t>Hippea maritima</t>
    <phoneticPr fontId="6" type="noConversion"/>
  </si>
  <si>
    <r>
      <t>Generated segment</t>
    </r>
    <r>
      <rPr>
        <b/>
        <vertAlign val="superscript"/>
        <sz val="11"/>
        <rFont val="Times New Roman"/>
        <family val="1"/>
      </rPr>
      <t>b</t>
    </r>
    <r>
      <rPr>
        <b/>
        <sz val="11"/>
        <rFont val="Times New Roman"/>
        <family val="1"/>
      </rPr>
      <t xml:space="preserve"> </t>
    </r>
    <phoneticPr fontId="6" type="noConversion"/>
  </si>
  <si>
    <r>
      <t>Generated segment</t>
    </r>
    <r>
      <rPr>
        <b/>
        <vertAlign val="superscript"/>
        <sz val="11"/>
        <rFont val="Times New Roman"/>
        <family val="1"/>
      </rPr>
      <t>e</t>
    </r>
    <phoneticPr fontId="6" type="noConversion"/>
  </si>
  <si>
    <t>Average</t>
    <phoneticPr fontId="6" type="noConversion"/>
  </si>
  <si>
    <t>segment no.</t>
    <phoneticPr fontId="6" type="noConversion"/>
  </si>
  <si>
    <r>
      <rPr>
        <vertAlign val="super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repeats. </t>
    </r>
    <phoneticPr fontId="6" type="noConversion"/>
  </si>
  <si>
    <r>
      <rPr>
        <vertAlign val="super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Under the thresholds of 3, 2, 2, 2, 2, 2 for identifiying the minimum number of mono-, di-, tri-, tetra-, penta- and hexanucleotide repeats in the generated segments, which had the same nucleotide numbers and components as those of the corresponding selected  segments but their nucleotide orders were rearranged randomly.</t>
    </r>
    <phoneticPr fontId="6" type="noConversion"/>
  </si>
  <si>
    <r>
      <t>Selected segment</t>
    </r>
    <r>
      <rPr>
        <b/>
        <vertAlign val="superscript"/>
        <sz val="12"/>
        <rFont val="Times New Roman"/>
        <family val="1"/>
      </rPr>
      <t>d</t>
    </r>
    <r>
      <rPr>
        <b/>
        <sz val="12"/>
        <rFont val="Times New Roman"/>
        <family val="1"/>
      </rPr>
      <t xml:space="preserve"> </t>
    </r>
    <phoneticPr fontId="6" type="noConversion"/>
  </si>
  <si>
    <r>
      <t>Selected segment</t>
    </r>
    <r>
      <rPr>
        <b/>
        <vertAlign val="superscript"/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</t>
    </r>
    <phoneticPr fontId="6" type="noConversion"/>
  </si>
  <si>
    <t>Percentage of short repeats (%)</t>
    <phoneticPr fontId="6" type="noConversion"/>
  </si>
  <si>
    <t>Segment size (bp)</t>
    <phoneticPr fontId="6" type="noConversion"/>
  </si>
  <si>
    <t>Chrosome</t>
    <phoneticPr fontId="6" type="noConversion"/>
  </si>
  <si>
    <t>full genome</t>
    <phoneticPr fontId="6" type="noConversion"/>
  </si>
  <si>
    <t>Accession no.</t>
    <phoneticPr fontId="6" type="noConversion"/>
  </si>
  <si>
    <t>Start (bp)</t>
    <phoneticPr fontId="6" type="noConversion"/>
  </si>
  <si>
    <t>End (bp)</t>
    <phoneticPr fontId="6" type="noConversion"/>
  </si>
  <si>
    <t>S51</t>
  </si>
  <si>
    <t>S52</t>
  </si>
  <si>
    <t>S53</t>
  </si>
  <si>
    <t>S54</t>
  </si>
  <si>
    <t>S55</t>
  </si>
  <si>
    <t>NC_000001</t>
  </si>
  <si>
    <t>NT_033779</t>
  </si>
  <si>
    <t>CP002688</t>
  </si>
  <si>
    <t>AB013613</t>
  </si>
  <si>
    <t>chr. 1</t>
    <phoneticPr fontId="6" type="noConversion"/>
  </si>
  <si>
    <r>
      <t>c</t>
    </r>
    <r>
      <rPr>
        <sz val="11"/>
        <rFont val="Times New Roman"/>
        <family val="1"/>
      </rPr>
      <t>hr. 2L</t>
    </r>
    <phoneticPr fontId="6" type="noConversion"/>
  </si>
  <si>
    <t>chr. 5</t>
    <phoneticPr fontId="6" type="noConversion"/>
  </si>
  <si>
    <t>Oryza sativa DNA, sequence RCB11</t>
    <phoneticPr fontId="6" type="noConversion"/>
  </si>
  <si>
    <t>Homo sapiens</t>
    <phoneticPr fontId="6" type="noConversion"/>
  </si>
  <si>
    <t>Drosophila melanogaster</t>
    <phoneticPr fontId="6" type="noConversion"/>
  </si>
  <si>
    <t>Arabidopsis thaliana</t>
    <phoneticPr fontId="6" type="noConversion"/>
  </si>
  <si>
    <t>Oryza sativa</t>
    <phoneticPr fontId="6" type="noConversion"/>
  </si>
  <si>
    <t>Saccharomyces cerevisiae</t>
    <phoneticPr fontId="6" type="noConversion"/>
  </si>
  <si>
    <t>NC_001136.10</t>
  </si>
  <si>
    <t>chr. IV</t>
    <phoneticPr fontId="6" type="noConversion"/>
  </si>
  <si>
    <t>Standard C group</t>
    <phoneticPr fontId="6" type="noConversion"/>
  </si>
  <si>
    <t>Difference</t>
    <phoneticPr fontId="6" type="noConversion"/>
  </si>
  <si>
    <r>
      <t>Selected segment</t>
    </r>
    <r>
      <rPr>
        <b/>
        <vertAlign val="superscript"/>
        <sz val="12"/>
        <rFont val="Times New Roman"/>
        <family val="1"/>
      </rPr>
      <t>f</t>
    </r>
    <r>
      <rPr>
        <b/>
        <sz val="12"/>
        <rFont val="Times New Roman"/>
        <family val="1"/>
      </rPr>
      <t xml:space="preserve"> </t>
    </r>
    <phoneticPr fontId="6" type="noConversion"/>
  </si>
  <si>
    <r>
      <t>Generated segment</t>
    </r>
    <r>
      <rPr>
        <b/>
        <vertAlign val="superscript"/>
        <sz val="11"/>
        <rFont val="Times New Roman"/>
        <family val="1"/>
      </rPr>
      <t>g</t>
    </r>
    <phoneticPr fontId="6" type="noConversion"/>
  </si>
  <si>
    <r>
      <rPr>
        <vertAlign val="superscript"/>
        <sz val="11"/>
        <rFont val="Times New Roman"/>
        <family val="1"/>
      </rPr>
      <t>f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repeats.</t>
    </r>
    <phoneticPr fontId="6" type="noConversion"/>
  </si>
  <si>
    <r>
      <rPr>
        <vertAlign val="superscript"/>
        <sz val="11"/>
        <rFont val="Times New Roman"/>
        <family val="1"/>
      </rPr>
      <t>g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repeats in the generated segments.</t>
    </r>
    <phoneticPr fontId="6" type="noConversion"/>
  </si>
  <si>
    <r>
      <rPr>
        <vertAlign val="superscript"/>
        <sz val="11"/>
        <rFont val="Times New Roman"/>
        <family val="1"/>
      </rPr>
      <t>d</t>
    </r>
    <r>
      <rPr>
        <sz val="11"/>
        <rFont val="Times New Roman"/>
        <family val="1"/>
      </rPr>
      <t xml:space="preserve"> Under the threshold of 5, 3, 2, 2, 2, 2 for identifiying the minimum number of mono-, di-, tri-, tetra-, penta- and hexanucleotide repeats.</t>
    </r>
    <phoneticPr fontId="6" type="noConversion"/>
  </si>
  <si>
    <r>
      <rPr>
        <vertAlign val="super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Under the threshold of 5, 3, 2, 2, 2, 2 for identifiying the minimum number of mono-, di-, tri-, tetra-, penta- and hexanucleotide repeats in the generated segments.</t>
    </r>
    <phoneticPr fontId="6" type="noConversion"/>
  </si>
  <si>
    <t>Standard B group</t>
    <phoneticPr fontId="6" type="noConversion"/>
  </si>
  <si>
    <r>
      <t>Difference</t>
    </r>
    <r>
      <rPr>
        <b/>
        <vertAlign val="superscript"/>
        <sz val="12"/>
        <rFont val="Times New Roman"/>
        <family val="1"/>
      </rPr>
      <t>c</t>
    </r>
    <phoneticPr fontId="6" type="noConversion"/>
  </si>
  <si>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The percentage difference of short repeats between each selected segment and corresponding generated segments.</t>
    </r>
    <phoneticPr fontId="6" type="noConversion"/>
  </si>
  <si>
    <t>S1</t>
    <phoneticPr fontId="6" type="noConversion"/>
  </si>
  <si>
    <t>S2</t>
  </si>
  <si>
    <t>S3</t>
  </si>
  <si>
    <t>S4</t>
  </si>
  <si>
    <t>S5</t>
  </si>
  <si>
    <t>S6</t>
  </si>
  <si>
    <t>S7</t>
  </si>
  <si>
    <t>S8</t>
  </si>
  <si>
    <t>S9</t>
  </si>
  <si>
    <t>Table S1.  The basic segment information and percentage comparison of short repeats between the randomly selected segments and the corresponding generated segments.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</si>
</sst>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.0_);[Red]\(0.0\)"/>
  </numFmts>
  <fonts count="4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vertAlign val="superscript"/>
      <sz val="1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3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1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26" fillId="31" borderId="6" applyNumberFormat="0" applyAlignment="0" applyProtection="0">
      <alignment vertical="center"/>
    </xf>
    <xf numFmtId="0" fontId="10" fillId="32" borderId="10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6" applyNumberFormat="0" applyAlignment="0" applyProtection="0">
      <alignment vertical="center"/>
    </xf>
    <xf numFmtId="0" fontId="39" fillId="22" borderId="9" applyNumberFormat="0" applyAlignment="0" applyProtection="0">
      <alignment vertical="center"/>
    </xf>
    <xf numFmtId="0" fontId="40" fillId="22" borderId="6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2" fillId="23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32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10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center" wrapText="1"/>
    </xf>
    <xf numFmtId="0" fontId="3" fillId="0" borderId="0" xfId="28" applyFont="1" applyBorder="1" applyAlignment="1">
      <alignment horizontal="right"/>
    </xf>
    <xf numFmtId="0" fontId="3" fillId="0" borderId="0" xfId="28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center" wrapText="1"/>
    </xf>
    <xf numFmtId="0" fontId="8" fillId="0" borderId="0" xfId="0" applyFont="1">
      <alignment vertical="center"/>
    </xf>
    <xf numFmtId="0" fontId="28" fillId="0" borderId="0" xfId="29" applyFont="1">
      <alignment vertical="center"/>
    </xf>
    <xf numFmtId="0" fontId="27" fillId="0" borderId="0" xfId="0" applyFont="1">
      <alignment vertical="center"/>
    </xf>
    <xf numFmtId="176" fontId="29" fillId="0" borderId="0" xfId="0" applyNumberFormat="1" applyFont="1" applyBorder="1" applyAlignment="1">
      <alignment horizontal="center" wrapText="1"/>
    </xf>
    <xf numFmtId="0" fontId="27" fillId="0" borderId="0" xfId="0" applyFont="1" applyAlignment="1"/>
    <xf numFmtId="178" fontId="27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176" fontId="5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/>
    </xf>
    <xf numFmtId="176" fontId="5" fillId="0" borderId="0" xfId="0" applyNumberFormat="1" applyFont="1" applyFill="1" applyBorder="1" applyAlignment="1">
      <alignment horizontal="center" wrapText="1"/>
    </xf>
    <xf numFmtId="176" fontId="29" fillId="0" borderId="0" xfId="0" applyNumberFormat="1" applyFont="1" applyFill="1" applyBorder="1" applyAlignment="1">
      <alignment horizontal="center" wrapText="1"/>
    </xf>
    <xf numFmtId="0" fontId="27" fillId="0" borderId="0" xfId="0" applyFont="1" applyFill="1">
      <alignment vertical="center"/>
    </xf>
    <xf numFmtId="176" fontId="27" fillId="0" borderId="0" xfId="0" applyNumberFormat="1" applyFont="1">
      <alignment vertical="center"/>
    </xf>
    <xf numFmtId="0" fontId="9" fillId="0" borderId="0" xfId="0" applyFont="1">
      <alignment vertical="center"/>
    </xf>
    <xf numFmtId="176" fontId="3" fillId="0" borderId="0" xfId="0" applyNumberFormat="1" applyFont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6" fontId="27" fillId="0" borderId="0" xfId="0" applyNumberFormat="1" applyFont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78" fontId="5" fillId="0" borderId="11" xfId="28" applyNumberFormat="1" applyFont="1" applyFill="1" applyBorder="1" applyAlignment="1">
      <alignment horizontal="center" vertical="center" wrapText="1"/>
    </xf>
    <xf numFmtId="0" fontId="3" fillId="0" borderId="0" xfId="28" applyFont="1" applyBorder="1" applyAlignment="1">
      <alignment horizontal="center" vertical="center"/>
    </xf>
    <xf numFmtId="0" fontId="7" fillId="0" borderId="0" xfId="28" applyFont="1" applyBorder="1" applyAlignment="1">
      <alignment horizontal="center" vertical="center" wrapText="1"/>
    </xf>
    <xf numFmtId="176" fontId="3" fillId="42" borderId="15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28" applyFont="1" applyFill="1" applyBorder="1" applyAlignment="1">
      <alignment horizontal="center" vertical="center"/>
    </xf>
    <xf numFmtId="0" fontId="3" fillId="33" borderId="0" xfId="28" applyFont="1" applyFill="1" applyBorder="1" applyAlignment="1">
      <alignment horizontal="center" vertical="center"/>
    </xf>
    <xf numFmtId="0" fontId="3" fillId="34" borderId="0" xfId="28" applyFont="1" applyFill="1" applyBorder="1" applyAlignment="1">
      <alignment horizontal="center" vertical="center"/>
    </xf>
    <xf numFmtId="0" fontId="3" fillId="35" borderId="0" xfId="28" applyFont="1" applyFill="1" applyBorder="1" applyAlignment="1">
      <alignment horizontal="center" vertical="center"/>
    </xf>
    <xf numFmtId="0" fontId="3" fillId="0" borderId="0" xfId="28" applyFont="1" applyBorder="1" applyAlignment="1">
      <alignment horizontal="center" vertical="center" wrapText="1"/>
    </xf>
    <xf numFmtId="177" fontId="3" fillId="0" borderId="0" xfId="28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76" fontId="3" fillId="42" borderId="16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/>
    </xf>
    <xf numFmtId="178" fontId="3" fillId="44" borderId="15" xfId="0" applyNumberFormat="1" applyFont="1" applyFill="1" applyBorder="1" applyAlignment="1">
      <alignment horizontal="center" vertical="center" wrapText="1"/>
    </xf>
    <xf numFmtId="178" fontId="3" fillId="44" borderId="18" xfId="0" applyNumberFormat="1" applyFont="1" applyFill="1" applyBorder="1" applyAlignment="1">
      <alignment horizontal="center" vertical="center" wrapText="1"/>
    </xf>
    <xf numFmtId="178" fontId="3" fillId="44" borderId="17" xfId="0" applyNumberFormat="1" applyFont="1" applyFill="1" applyBorder="1" applyAlignment="1">
      <alignment horizontal="center" vertical="center" wrapText="1"/>
    </xf>
    <xf numFmtId="178" fontId="3" fillId="44" borderId="16" xfId="0" applyNumberFormat="1" applyFont="1" applyFill="1" applyBorder="1" applyAlignment="1">
      <alignment horizontal="center" vertical="center" wrapText="1"/>
    </xf>
    <xf numFmtId="176" fontId="3" fillId="43" borderId="15" xfId="0" applyNumberFormat="1" applyFont="1" applyFill="1" applyBorder="1" applyAlignment="1">
      <alignment horizontal="center" vertical="center" wrapText="1"/>
    </xf>
    <xf numFmtId="176" fontId="3" fillId="43" borderId="17" xfId="0" applyNumberFormat="1" applyFont="1" applyFill="1" applyBorder="1" applyAlignment="1">
      <alignment horizontal="center" vertical="center" wrapText="1"/>
    </xf>
    <xf numFmtId="176" fontId="3" fillId="43" borderId="16" xfId="0" applyNumberFormat="1" applyFont="1" applyFill="1" applyBorder="1" applyAlignment="1">
      <alignment horizontal="center" vertical="center" wrapText="1"/>
    </xf>
    <xf numFmtId="176" fontId="3" fillId="42" borderId="17" xfId="0" applyNumberFormat="1" applyFont="1" applyFill="1" applyBorder="1" applyAlignment="1">
      <alignment horizontal="center" vertical="center" wrapText="1"/>
    </xf>
    <xf numFmtId="0" fontId="3" fillId="33" borderId="0" xfId="28" applyFont="1" applyFill="1" applyBorder="1" applyAlignment="1">
      <alignment horizontal="center" vertical="center"/>
    </xf>
    <xf numFmtId="0" fontId="3" fillId="39" borderId="0" xfId="28" applyFont="1" applyFill="1" applyBorder="1" applyAlignment="1">
      <alignment horizontal="center" vertical="center"/>
    </xf>
    <xf numFmtId="0" fontId="3" fillId="0" borderId="0" xfId="28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41" borderId="0" xfId="28" applyFont="1" applyFill="1" applyBorder="1" applyAlignment="1">
      <alignment horizontal="center" vertical="center"/>
    </xf>
    <xf numFmtId="0" fontId="3" fillId="37" borderId="0" xfId="28" applyFont="1" applyFill="1" applyBorder="1" applyAlignment="1">
      <alignment horizontal="center" vertical="center"/>
    </xf>
    <xf numFmtId="0" fontId="3" fillId="36" borderId="0" xfId="28" applyFont="1" applyFill="1" applyBorder="1" applyAlignment="1">
      <alignment horizontal="center" vertical="center"/>
    </xf>
    <xf numFmtId="0" fontId="3" fillId="38" borderId="0" xfId="28" applyFont="1" applyFill="1" applyBorder="1" applyAlignment="1">
      <alignment horizontal="center" vertical="center"/>
    </xf>
    <xf numFmtId="0" fontId="3" fillId="40" borderId="0" xfId="28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13" xfId="28" applyFont="1" applyBorder="1" applyAlignment="1">
      <alignment horizontal="center" vertical="center"/>
    </xf>
    <xf numFmtId="0" fontId="5" fillId="0" borderId="0" xfId="28" applyFont="1" applyBorder="1" applyAlignment="1">
      <alignment horizontal="center" vertical="center"/>
    </xf>
    <xf numFmtId="0" fontId="5" fillId="0" borderId="11" xfId="28" applyFont="1" applyBorder="1" applyAlignment="1">
      <alignment horizontal="center" vertical="center"/>
    </xf>
    <xf numFmtId="0" fontId="5" fillId="0" borderId="13" xfId="28" applyFont="1" applyBorder="1" applyAlignment="1">
      <alignment horizontal="center" vertical="center" wrapText="1"/>
    </xf>
    <xf numFmtId="0" fontId="5" fillId="0" borderId="0" xfId="28" applyFont="1" applyBorder="1" applyAlignment="1">
      <alignment horizontal="center" vertical="center" wrapText="1"/>
    </xf>
    <xf numFmtId="0" fontId="5" fillId="0" borderId="11" xfId="28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76" fontId="5" fillId="0" borderId="0" xfId="28" applyNumberFormat="1" applyFont="1" applyBorder="1" applyAlignment="1">
      <alignment horizontal="center" vertical="center" wrapText="1"/>
    </xf>
    <xf numFmtId="176" fontId="5" fillId="0" borderId="11" xfId="28" applyNumberFormat="1" applyFont="1" applyBorder="1" applyAlignment="1">
      <alignment horizontal="center" vertical="center" wrapText="1"/>
    </xf>
    <xf numFmtId="176" fontId="5" fillId="0" borderId="14" xfId="28" applyNumberFormat="1" applyFont="1" applyBorder="1" applyAlignment="1">
      <alignment horizontal="center" vertical="center" wrapText="1"/>
    </xf>
    <xf numFmtId="178" fontId="5" fillId="0" borderId="14" xfId="28" applyNumberFormat="1" applyFont="1" applyBorder="1" applyAlignment="1">
      <alignment horizontal="center" vertical="center" wrapText="1"/>
    </xf>
    <xf numFmtId="178" fontId="5" fillId="0" borderId="11" xfId="28" applyNumberFormat="1" applyFont="1" applyBorder="1" applyAlignment="1">
      <alignment horizontal="center" vertical="center" wrapText="1"/>
    </xf>
  </cellXfs>
  <cellStyles count="103">
    <cellStyle name="20% - 强调文字颜色 1" xfId="63" builtinId="30" customBuiltin="1"/>
    <cellStyle name="20% - 强调文字颜色 1 2" xfId="1"/>
    <cellStyle name="20% - 强调文字颜色 2" xfId="67" builtinId="34" customBuiltin="1"/>
    <cellStyle name="20% - 强调文字颜色 2 2" xfId="2"/>
    <cellStyle name="20% - 强调文字颜色 3" xfId="71" builtinId="38" customBuiltin="1"/>
    <cellStyle name="20% - 强调文字颜色 3 2" xfId="3"/>
    <cellStyle name="20% - 强调文字颜色 4" xfId="75" builtinId="42" customBuiltin="1"/>
    <cellStyle name="20% - 强调文字颜色 4 2" xfId="4"/>
    <cellStyle name="20% - 强调文字颜色 5" xfId="79" builtinId="46" customBuiltin="1"/>
    <cellStyle name="20% - 强调文字颜色 5 2" xfId="5"/>
    <cellStyle name="20% - 强调文字颜色 6" xfId="83" builtinId="50" customBuiltin="1"/>
    <cellStyle name="20% - 强调文字颜色 6 2" xfId="6"/>
    <cellStyle name="20% - 着色 1 2" xfId="91"/>
    <cellStyle name="20% - 着色 2 2" xfId="93"/>
    <cellStyle name="20% - 着色 3 2" xfId="95"/>
    <cellStyle name="20% - 着色 4 2" xfId="97"/>
    <cellStyle name="20% - 着色 5 2" xfId="99"/>
    <cellStyle name="20% - 着色 6 2" xfId="101"/>
    <cellStyle name="40% - 强调文字颜色 1" xfId="64" builtinId="31" customBuiltin="1"/>
    <cellStyle name="40% - 强调文字颜色 1 2" xfId="7"/>
    <cellStyle name="40% - 强调文字颜色 2" xfId="68" builtinId="35" customBuiltin="1"/>
    <cellStyle name="40% - 强调文字颜色 2 2" xfId="8"/>
    <cellStyle name="40% - 强调文字颜色 3" xfId="72" builtinId="39" customBuiltin="1"/>
    <cellStyle name="40% - 强调文字颜色 3 2" xfId="9"/>
    <cellStyle name="40% - 强调文字颜色 4" xfId="76" builtinId="43" customBuiltin="1"/>
    <cellStyle name="40% - 强调文字颜色 4 2" xfId="10"/>
    <cellStyle name="40% - 强调文字颜色 5" xfId="80" builtinId="47" customBuiltin="1"/>
    <cellStyle name="40% - 强调文字颜色 5 2" xfId="11"/>
    <cellStyle name="40% - 强调文字颜色 6" xfId="84" builtinId="51" customBuiltin="1"/>
    <cellStyle name="40% - 强调文字颜色 6 2" xfId="12"/>
    <cellStyle name="40% - 着色 1 2" xfId="92"/>
    <cellStyle name="40% - 着色 2 2" xfId="94"/>
    <cellStyle name="40% - 着色 3 2" xfId="96"/>
    <cellStyle name="40% - 着色 4 2" xfId="98"/>
    <cellStyle name="40% - 着色 5 2" xfId="100"/>
    <cellStyle name="40% - 着色 6 2" xfId="102"/>
    <cellStyle name="60% - 强调文字颜色 1" xfId="65" builtinId="32" customBuiltin="1"/>
    <cellStyle name="60% - 强调文字颜色 1 2" xfId="13"/>
    <cellStyle name="60% - 强调文字颜色 2" xfId="69" builtinId="36" customBuiltin="1"/>
    <cellStyle name="60% - 强调文字颜色 2 2" xfId="14"/>
    <cellStyle name="60% - 强调文字颜色 3" xfId="73" builtinId="40" customBuiltin="1"/>
    <cellStyle name="60% - 强调文字颜色 3 2" xfId="15"/>
    <cellStyle name="60% - 强调文字颜色 4" xfId="77" builtinId="44" customBuiltin="1"/>
    <cellStyle name="60% - 强调文字颜色 4 2" xfId="16"/>
    <cellStyle name="60% - 强调文字颜色 5" xfId="81" builtinId="48" customBuiltin="1"/>
    <cellStyle name="60% - 强调文字颜色 5 2" xfId="17"/>
    <cellStyle name="60% - 强调文字颜色 6" xfId="85" builtinId="52" customBuiltin="1"/>
    <cellStyle name="60% - 强调文字颜色 6 2" xfId="18"/>
    <cellStyle name="标题 1" xfId="47" builtinId="16" customBuiltin="1"/>
    <cellStyle name="标题 1 2" xfId="19"/>
    <cellStyle name="标题 2" xfId="48" builtinId="17" customBuiltin="1"/>
    <cellStyle name="标题 2 2" xfId="20"/>
    <cellStyle name="标题 3" xfId="49" builtinId="18" customBuiltin="1"/>
    <cellStyle name="标题 3 2" xfId="21"/>
    <cellStyle name="标题 4" xfId="50" builtinId="19" customBuiltin="1"/>
    <cellStyle name="标题 4 2" xfId="22"/>
    <cellStyle name="标题 5" xfId="23"/>
    <cellStyle name="标题 6" xfId="87"/>
    <cellStyle name="差" xfId="52" builtinId="27" customBuiltin="1"/>
    <cellStyle name="差 2" xfId="24"/>
    <cellStyle name="常规" xfId="0" builtinId="0"/>
    <cellStyle name="常规 2" xfId="25"/>
    <cellStyle name="常规 3" xfId="26"/>
    <cellStyle name="常规 4" xfId="27"/>
    <cellStyle name="常规 5" xfId="28"/>
    <cellStyle name="常规 6" xfId="29"/>
    <cellStyle name="常规 7" xfId="86"/>
    <cellStyle name="常规 8" xfId="89"/>
    <cellStyle name="好" xfId="51" builtinId="26" customBuiltin="1"/>
    <cellStyle name="好 2" xfId="30"/>
    <cellStyle name="汇总" xfId="61" builtinId="25" customBuiltin="1"/>
    <cellStyle name="汇总 2" xfId="31"/>
    <cellStyle name="计算" xfId="56" builtinId="22" customBuiltin="1"/>
    <cellStyle name="计算 2" xfId="32"/>
    <cellStyle name="检查单元格" xfId="58" builtinId="23" customBuiltin="1"/>
    <cellStyle name="检查单元格 2" xfId="33"/>
    <cellStyle name="解释性文本" xfId="60" builtinId="53" customBuiltin="1"/>
    <cellStyle name="解释性文本 2" xfId="34"/>
    <cellStyle name="警告文本" xfId="59" builtinId="11" customBuiltin="1"/>
    <cellStyle name="警告文本 2" xfId="35"/>
    <cellStyle name="链接单元格" xfId="57" builtinId="24" customBuiltin="1"/>
    <cellStyle name="链接单元格 2" xfId="36"/>
    <cellStyle name="强调文字颜色 1" xfId="62" builtinId="29" customBuiltin="1"/>
    <cellStyle name="强调文字颜色 1 2" xfId="37"/>
    <cellStyle name="强调文字颜色 2" xfId="66" builtinId="33" customBuiltin="1"/>
    <cellStyle name="强调文字颜色 2 2" xfId="38"/>
    <cellStyle name="强调文字颜色 3" xfId="70" builtinId="37" customBuiltin="1"/>
    <cellStyle name="强调文字颜色 3 2" xfId="39"/>
    <cellStyle name="强调文字颜色 4" xfId="74" builtinId="41" customBuiltin="1"/>
    <cellStyle name="强调文字颜色 4 2" xfId="40"/>
    <cellStyle name="强调文字颜色 5" xfId="78" builtinId="45" customBuiltin="1"/>
    <cellStyle name="强调文字颜色 5 2" xfId="41"/>
    <cellStyle name="强调文字颜色 6" xfId="82" builtinId="49" customBuiltin="1"/>
    <cellStyle name="强调文字颜色 6 2" xfId="42"/>
    <cellStyle name="适中" xfId="53" builtinId="28" customBuiltin="1"/>
    <cellStyle name="适中 2" xfId="43"/>
    <cellStyle name="输出" xfId="55" builtinId="21" customBuiltin="1"/>
    <cellStyle name="输出 2" xfId="44"/>
    <cellStyle name="输入" xfId="54" builtinId="20" customBuiltin="1"/>
    <cellStyle name="输入 2" xfId="45"/>
    <cellStyle name="注释 2" xfId="46"/>
    <cellStyle name="注释 3" xfId="88"/>
    <cellStyle name="注释 4" xfId="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15"/>
  <sheetViews>
    <sheetView tabSelected="1" workbookViewId="0">
      <pane xSplit="5" ySplit="5" topLeftCell="F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defaultColWidth="9" defaultRowHeight="14.4"/>
  <cols>
    <col min="1" max="1" width="9" style="1"/>
    <col min="2" max="3" width="10.33203125" style="3" bestFit="1" customWidth="1"/>
    <col min="4" max="4" width="9" style="1"/>
    <col min="5" max="5" width="16.109375" style="4" customWidth="1"/>
    <col min="6" max="6" width="11.21875" style="1" customWidth="1"/>
    <col min="7" max="7" width="12.77734375" style="1" customWidth="1"/>
    <col min="8" max="8" width="9.21875" style="12" customWidth="1"/>
    <col min="9" max="10" width="10.44140625" style="1" bestFit="1" customWidth="1"/>
    <col min="11" max="11" width="9" style="1" customWidth="1"/>
    <col min="12" max="12" width="10.109375" style="1" customWidth="1"/>
    <col min="13" max="13" width="10.21875" style="10" customWidth="1"/>
    <col min="14" max="14" width="10.109375" style="23" customWidth="1"/>
    <col min="15" max="15" width="1.88671875" style="23" customWidth="1"/>
    <col min="16" max="16" width="9.109375" style="23" customWidth="1"/>
    <col min="17" max="17" width="10.77734375" style="23" customWidth="1"/>
    <col min="18" max="18" width="9.77734375" style="23" customWidth="1"/>
    <col min="19" max="19" width="1.88671875" style="23" customWidth="1"/>
    <col min="20" max="20" width="10.33203125" style="13" customWidth="1"/>
    <col min="21" max="21" width="10.6640625" style="1" customWidth="1"/>
    <col min="22" max="22" width="9.44140625" style="24" customWidth="1"/>
    <col min="23" max="23" width="23.44140625" style="1" customWidth="1"/>
    <col min="24" max="16384" width="9" style="1"/>
  </cols>
  <sheetData>
    <row r="1" spans="1:53" s="10" customFormat="1" ht="14.25" customHeight="1" thickBot="1">
      <c r="A1" s="14" t="s">
        <v>247</v>
      </c>
      <c r="B1" s="2"/>
      <c r="C1" s="2"/>
      <c r="D1" s="2"/>
      <c r="E1" s="27"/>
      <c r="F1" s="2"/>
      <c r="G1" s="2"/>
      <c r="H1" s="2"/>
      <c r="I1" s="2"/>
      <c r="J1" s="2"/>
      <c r="K1" s="2"/>
      <c r="L1" s="2"/>
      <c r="M1" s="2"/>
      <c r="N1" s="28"/>
      <c r="O1" s="28"/>
      <c r="P1" s="28"/>
      <c r="Q1" s="28"/>
      <c r="R1" s="28"/>
      <c r="S1" s="28"/>
      <c r="T1" s="29"/>
      <c r="U1" s="2"/>
      <c r="V1" s="30"/>
    </row>
    <row r="2" spans="1:53" s="10" customFormat="1" ht="23.25" customHeight="1" thickTop="1">
      <c r="A2" s="70" t="s">
        <v>176</v>
      </c>
      <c r="B2" s="70"/>
      <c r="C2" s="70"/>
      <c r="D2" s="73" t="s">
        <v>195</v>
      </c>
      <c r="E2" s="73" t="s">
        <v>76</v>
      </c>
      <c r="F2" s="70" t="s">
        <v>202</v>
      </c>
      <c r="G2" s="70" t="s">
        <v>204</v>
      </c>
      <c r="H2" s="73" t="s">
        <v>139</v>
      </c>
      <c r="I2" s="70" t="s">
        <v>205</v>
      </c>
      <c r="J2" s="70" t="s">
        <v>206</v>
      </c>
      <c r="K2" s="73" t="s">
        <v>201</v>
      </c>
      <c r="L2" s="69" t="s">
        <v>200</v>
      </c>
      <c r="M2" s="69"/>
      <c r="N2" s="69"/>
      <c r="O2" s="69"/>
      <c r="P2" s="69"/>
      <c r="Q2" s="69"/>
      <c r="R2" s="69"/>
      <c r="S2" s="69"/>
      <c r="T2" s="69"/>
      <c r="U2" s="69"/>
      <c r="V2" s="69"/>
    </row>
    <row r="3" spans="1:53" s="10" customFormat="1" ht="23.25" customHeight="1">
      <c r="A3" s="71"/>
      <c r="B3" s="71"/>
      <c r="C3" s="71"/>
      <c r="D3" s="74"/>
      <c r="E3" s="74"/>
      <c r="F3" s="71"/>
      <c r="G3" s="71"/>
      <c r="H3" s="74"/>
      <c r="I3" s="71"/>
      <c r="J3" s="71"/>
      <c r="K3" s="74"/>
      <c r="L3" s="76" t="s">
        <v>186</v>
      </c>
      <c r="M3" s="76"/>
      <c r="N3" s="76"/>
      <c r="O3" s="32"/>
      <c r="P3" s="76" t="s">
        <v>235</v>
      </c>
      <c r="Q3" s="76"/>
      <c r="R3" s="76"/>
      <c r="S3" s="32"/>
      <c r="T3" s="76" t="s">
        <v>227</v>
      </c>
      <c r="U3" s="76"/>
      <c r="V3" s="76"/>
    </row>
    <row r="4" spans="1:53" s="10" customFormat="1" ht="23.25" customHeight="1">
      <c r="A4" s="71"/>
      <c r="B4" s="71"/>
      <c r="C4" s="71"/>
      <c r="D4" s="74"/>
      <c r="E4" s="74"/>
      <c r="F4" s="71"/>
      <c r="G4" s="71"/>
      <c r="H4" s="74"/>
      <c r="I4" s="71"/>
      <c r="J4" s="71"/>
      <c r="K4" s="74"/>
      <c r="L4" s="74" t="s">
        <v>199</v>
      </c>
      <c r="M4" s="61" t="s">
        <v>192</v>
      </c>
      <c r="N4" s="77" t="s">
        <v>236</v>
      </c>
      <c r="O4" s="32"/>
      <c r="P4" s="80" t="s">
        <v>198</v>
      </c>
      <c r="Q4" s="61" t="s">
        <v>193</v>
      </c>
      <c r="R4" s="79" t="s">
        <v>228</v>
      </c>
      <c r="S4" s="32"/>
      <c r="T4" s="80" t="s">
        <v>229</v>
      </c>
      <c r="U4" s="61" t="s">
        <v>230</v>
      </c>
      <c r="V4" s="79" t="s">
        <v>228</v>
      </c>
    </row>
    <row r="5" spans="1:53" s="2" customFormat="1" ht="34.5" customHeight="1">
      <c r="A5" s="72"/>
      <c r="B5" s="72"/>
      <c r="C5" s="72"/>
      <c r="D5" s="75"/>
      <c r="E5" s="75"/>
      <c r="F5" s="72"/>
      <c r="G5" s="72"/>
      <c r="H5" s="75"/>
      <c r="I5" s="72"/>
      <c r="J5" s="72"/>
      <c r="K5" s="75"/>
      <c r="L5" s="75"/>
      <c r="M5" s="62"/>
      <c r="N5" s="78"/>
      <c r="O5" s="33"/>
      <c r="P5" s="81"/>
      <c r="Q5" s="62"/>
      <c r="R5" s="78"/>
      <c r="S5" s="33"/>
      <c r="T5" s="81"/>
      <c r="U5" s="62"/>
      <c r="V5" s="78"/>
    </row>
    <row r="6" spans="1:53" ht="15.75" customHeight="1">
      <c r="A6" s="64" t="s">
        <v>73</v>
      </c>
      <c r="B6" s="65" t="s">
        <v>74</v>
      </c>
      <c r="C6" s="58" t="s">
        <v>75</v>
      </c>
      <c r="D6" s="34" t="s">
        <v>238</v>
      </c>
      <c r="E6" s="35" t="s">
        <v>175</v>
      </c>
      <c r="F6" s="34" t="s">
        <v>77</v>
      </c>
      <c r="G6" s="34" t="s">
        <v>5</v>
      </c>
      <c r="H6" s="34">
        <v>3099.37</v>
      </c>
      <c r="I6" s="34">
        <v>144822</v>
      </c>
      <c r="J6" s="34">
        <v>231384</v>
      </c>
      <c r="K6" s="34">
        <v>86563</v>
      </c>
      <c r="L6" s="36">
        <f>40210/K6*100</f>
        <v>46.45171724639858</v>
      </c>
      <c r="M6" s="36">
        <f>30956/K6*100</f>
        <v>35.761237480216721</v>
      </c>
      <c r="N6" s="36">
        <f>L6-M6</f>
        <v>10.690479766181859</v>
      </c>
      <c r="O6" s="37"/>
      <c r="P6" s="54">
        <v>18.176357104074491</v>
      </c>
      <c r="Q6" s="54">
        <v>12.37133648325497</v>
      </c>
      <c r="R6" s="54">
        <v>5.805020620819521</v>
      </c>
      <c r="S6" s="37"/>
      <c r="T6" s="50">
        <f>5098/K6*100</f>
        <v>5.8893522636692346</v>
      </c>
      <c r="U6" s="51">
        <f>1885/K6*100</f>
        <v>2.1776047502974714</v>
      </c>
      <c r="V6" s="50">
        <f t="shared" ref="V6:V37" si="0">(T6*5-SUM(U6:U6))/5</f>
        <v>5.4538313136097401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.6">
      <c r="A7" s="64"/>
      <c r="B7" s="65"/>
      <c r="C7" s="58"/>
      <c r="D7" s="34" t="s">
        <v>239</v>
      </c>
      <c r="E7" s="35" t="s">
        <v>6</v>
      </c>
      <c r="F7" s="34" t="s">
        <v>78</v>
      </c>
      <c r="G7" s="34" t="s">
        <v>7</v>
      </c>
      <c r="H7" s="34">
        <v>3323.27</v>
      </c>
      <c r="I7" s="34">
        <v>284709</v>
      </c>
      <c r="J7" s="34">
        <v>368786</v>
      </c>
      <c r="K7" s="34">
        <v>84078</v>
      </c>
      <c r="L7" s="36">
        <f>38029/K7*100</f>
        <v>45.230619186945454</v>
      </c>
      <c r="M7" s="36">
        <f>30260/K7*100</f>
        <v>35.990389876067461</v>
      </c>
      <c r="N7" s="36">
        <f t="shared" ref="N7:N59" si="1">L7-M7</f>
        <v>9.2402293108779929</v>
      </c>
      <c r="O7" s="37"/>
      <c r="P7" s="54">
        <v>18.354385213730108</v>
      </c>
      <c r="Q7" s="54">
        <v>11.521444373082138</v>
      </c>
      <c r="R7" s="54">
        <v>6.8329408406479697</v>
      </c>
      <c r="S7" s="37"/>
      <c r="T7" s="50">
        <f>3980/K7*100</f>
        <v>4.7336996598396723</v>
      </c>
      <c r="U7" s="51">
        <f>1590/K7*100</f>
        <v>1.8911011203882111</v>
      </c>
      <c r="V7" s="50">
        <f t="shared" si="0"/>
        <v>4.3554794357620299</v>
      </c>
      <c r="X7" s="8"/>
      <c r="Y7" s="8"/>
    </row>
    <row r="8" spans="1:53" ht="31.2">
      <c r="A8" s="64"/>
      <c r="B8" s="65"/>
      <c r="C8" s="58"/>
      <c r="D8" s="34" t="s">
        <v>240</v>
      </c>
      <c r="E8" s="35" t="s">
        <v>71</v>
      </c>
      <c r="F8" s="34" t="s">
        <v>78</v>
      </c>
      <c r="G8" s="38" t="s">
        <v>72</v>
      </c>
      <c r="H8" s="34">
        <v>2247.73</v>
      </c>
      <c r="I8" s="38">
        <v>3953081</v>
      </c>
      <c r="J8" s="38">
        <v>4023081</v>
      </c>
      <c r="K8" s="38">
        <f>J8-I8</f>
        <v>70000</v>
      </c>
      <c r="L8" s="36">
        <f>31351/K8*100</f>
        <v>44.787142857142861</v>
      </c>
      <c r="M8" s="36">
        <f>26278/K8*100</f>
        <v>37.54</v>
      </c>
      <c r="N8" s="36">
        <f t="shared" si="1"/>
        <v>7.2471428571428618</v>
      </c>
      <c r="O8" s="37"/>
      <c r="P8" s="54">
        <v>17.754285714285714</v>
      </c>
      <c r="Q8" s="54">
        <v>12.995714285714286</v>
      </c>
      <c r="R8" s="54">
        <v>4.7585714285714289</v>
      </c>
      <c r="S8" s="37"/>
      <c r="T8" s="50">
        <f>3375/K8*100</f>
        <v>4.8214285714285721</v>
      </c>
      <c r="U8" s="51">
        <f>1699/K8*100</f>
        <v>2.427142857142857</v>
      </c>
      <c r="V8" s="50">
        <f t="shared" si="0"/>
        <v>4.3360000000000003</v>
      </c>
      <c r="X8" s="8"/>
      <c r="Y8" s="8"/>
    </row>
    <row r="9" spans="1:53" ht="15.6">
      <c r="A9" s="64"/>
      <c r="B9" s="65"/>
      <c r="C9" s="58"/>
      <c r="D9" s="34" t="s">
        <v>241</v>
      </c>
      <c r="E9" s="35" t="s">
        <v>79</v>
      </c>
      <c r="F9" s="34" t="s">
        <v>80</v>
      </c>
      <c r="G9" s="34" t="s">
        <v>8</v>
      </c>
      <c r="H9" s="34">
        <v>2726.01</v>
      </c>
      <c r="I9" s="34">
        <v>3153799</v>
      </c>
      <c r="J9" s="34">
        <v>3250214</v>
      </c>
      <c r="K9" s="34">
        <v>96416</v>
      </c>
      <c r="L9" s="36">
        <f>43269/K9*100</f>
        <v>44.877406239628279</v>
      </c>
      <c r="M9" s="36">
        <f>36150/K9*100</f>
        <v>37.493776966478592</v>
      </c>
      <c r="N9" s="36">
        <f t="shared" si="1"/>
        <v>7.3836292731496869</v>
      </c>
      <c r="O9" s="37"/>
      <c r="P9" s="54">
        <v>18.254231662794556</v>
      </c>
      <c r="Q9" s="54">
        <v>13.239503816793894</v>
      </c>
      <c r="R9" s="54">
        <v>5.0147278460006621</v>
      </c>
      <c r="S9" s="37"/>
      <c r="T9" s="50">
        <f>4789/K9*100</f>
        <v>4.9670179223365416</v>
      </c>
      <c r="U9" s="51">
        <f>2192/K9*100</f>
        <v>2.2734815798207766</v>
      </c>
      <c r="V9" s="50">
        <f t="shared" si="0"/>
        <v>4.5123216063723861</v>
      </c>
      <c r="X9" s="8"/>
      <c r="Y9" s="8"/>
    </row>
    <row r="10" spans="1:53" ht="15.6">
      <c r="A10" s="64"/>
      <c r="B10" s="65"/>
      <c r="C10" s="58"/>
      <c r="D10" s="34" t="s">
        <v>242</v>
      </c>
      <c r="E10" s="35" t="s">
        <v>81</v>
      </c>
      <c r="F10" s="34" t="s">
        <v>82</v>
      </c>
      <c r="G10" s="34" t="s">
        <v>162</v>
      </c>
      <c r="H10" s="34">
        <v>2587.5</v>
      </c>
      <c r="I10" s="34">
        <v>11651464</v>
      </c>
      <c r="J10" s="34">
        <v>11726480</v>
      </c>
      <c r="K10" s="34">
        <f>J10-I10+1</f>
        <v>75017</v>
      </c>
      <c r="L10" s="36">
        <f>33454/K10*100</f>
        <v>44.595225082314677</v>
      </c>
      <c r="M10" s="36">
        <f>28612/K10*100</f>
        <v>38.14068811069491</v>
      </c>
      <c r="N10" s="36">
        <f t="shared" si="1"/>
        <v>6.4545369716197669</v>
      </c>
      <c r="O10" s="37"/>
      <c r="P10" s="54">
        <v>17.477371795726302</v>
      </c>
      <c r="Q10" s="54">
        <v>13.755548742285081</v>
      </c>
      <c r="R10" s="54">
        <v>3.7218230534412218</v>
      </c>
      <c r="S10" s="37"/>
      <c r="T10" s="50">
        <f>3365/K10*100</f>
        <v>4.4856499193516131</v>
      </c>
      <c r="U10" s="51">
        <f>2045/K10*100</f>
        <v>2.7260487622805498</v>
      </c>
      <c r="V10" s="50">
        <f t="shared" si="0"/>
        <v>3.9404401668955034</v>
      </c>
      <c r="X10" s="8"/>
      <c r="Y10" s="8"/>
    </row>
    <row r="11" spans="1:53" ht="15.6">
      <c r="A11" s="64"/>
      <c r="B11" s="65"/>
      <c r="C11" s="58"/>
      <c r="D11" s="34" t="s">
        <v>243</v>
      </c>
      <c r="E11" s="35" t="s">
        <v>83</v>
      </c>
      <c r="F11" s="34" t="s">
        <v>84</v>
      </c>
      <c r="G11" s="34" t="s">
        <v>85</v>
      </c>
      <c r="H11" s="34">
        <v>2367.0700000000002</v>
      </c>
      <c r="I11" s="34">
        <v>2733059</v>
      </c>
      <c r="J11" s="34">
        <v>2821864</v>
      </c>
      <c r="K11" s="34">
        <v>88806</v>
      </c>
      <c r="L11" s="36">
        <f>41260/K11*100</f>
        <v>46.460824719050514</v>
      </c>
      <c r="M11" s="36">
        <f>35037/K11*100</f>
        <v>39.453415309776368</v>
      </c>
      <c r="N11" s="36">
        <f t="shared" si="1"/>
        <v>7.0074094092741461</v>
      </c>
      <c r="O11" s="37"/>
      <c r="P11" s="54">
        <v>19.118077607368871</v>
      </c>
      <c r="Q11" s="54">
        <v>14.823322748462942</v>
      </c>
      <c r="R11" s="54">
        <v>4.2947548589059288</v>
      </c>
      <c r="S11" s="37"/>
      <c r="T11" s="50">
        <f>4225/K11*100</f>
        <v>4.7575614260297732</v>
      </c>
      <c r="U11" s="51">
        <f>2554/K11*100</f>
        <v>2.8759318064094765</v>
      </c>
      <c r="V11" s="50">
        <f t="shared" si="0"/>
        <v>4.1823750647478786</v>
      </c>
      <c r="X11" s="8"/>
      <c r="Y11" s="8"/>
    </row>
    <row r="12" spans="1:53" ht="15.6">
      <c r="A12" s="64"/>
      <c r="B12" s="65"/>
      <c r="C12" s="58"/>
      <c r="D12" s="34" t="s">
        <v>244</v>
      </c>
      <c r="E12" s="35" t="s">
        <v>86</v>
      </c>
      <c r="F12" s="34" t="s">
        <v>163</v>
      </c>
      <c r="G12" s="34" t="s">
        <v>164</v>
      </c>
      <c r="H12" s="34">
        <v>2221.9899999999998</v>
      </c>
      <c r="I12" s="34">
        <v>3524080</v>
      </c>
      <c r="J12" s="34">
        <v>3593095</v>
      </c>
      <c r="K12" s="34">
        <f>J12-I12+1</f>
        <v>69016</v>
      </c>
      <c r="L12" s="36">
        <f>31351/K12*100</f>
        <v>45.425698388779409</v>
      </c>
      <c r="M12" s="36">
        <f>24502/K12*100</f>
        <v>35.501912599976812</v>
      </c>
      <c r="N12" s="36">
        <f t="shared" si="1"/>
        <v>9.9237857888025971</v>
      </c>
      <c r="O12" s="37"/>
      <c r="P12" s="54">
        <v>18.598585835168656</v>
      </c>
      <c r="Q12" s="54">
        <v>11.419091225223136</v>
      </c>
      <c r="R12" s="54">
        <v>7.1794946099455199</v>
      </c>
      <c r="S12" s="37"/>
      <c r="T12" s="50">
        <f>3843/K12*100</f>
        <v>5.5682740234148609</v>
      </c>
      <c r="U12" s="51">
        <f>1297/K12*100</f>
        <v>1.8792743711603106</v>
      </c>
      <c r="V12" s="50">
        <f t="shared" si="0"/>
        <v>5.1924191491827987</v>
      </c>
      <c r="X12" s="8"/>
      <c r="Y12" s="8"/>
    </row>
    <row r="13" spans="1:53" ht="15.6">
      <c r="A13" s="64"/>
      <c r="B13" s="65"/>
      <c r="C13" s="64" t="s">
        <v>87</v>
      </c>
      <c r="D13" s="34" t="s">
        <v>245</v>
      </c>
      <c r="E13" s="35" t="s">
        <v>88</v>
      </c>
      <c r="F13" s="34" t="s">
        <v>89</v>
      </c>
      <c r="G13" s="34" t="s">
        <v>9</v>
      </c>
      <c r="H13" s="34">
        <v>1074.96</v>
      </c>
      <c r="I13" s="34">
        <v>13104123</v>
      </c>
      <c r="J13" s="34">
        <v>13190291</v>
      </c>
      <c r="K13" s="34">
        <v>86169</v>
      </c>
      <c r="L13" s="36">
        <f>38840/K13*100</f>
        <v>45.07421462474904</v>
      </c>
      <c r="M13" s="36">
        <f>30679/K13*100</f>
        <v>35.603291206814511</v>
      </c>
      <c r="N13" s="36">
        <f t="shared" si="1"/>
        <v>9.4709234179345287</v>
      </c>
      <c r="O13" s="37"/>
      <c r="P13" s="54">
        <v>18.553075932179787</v>
      </c>
      <c r="Q13" s="54">
        <v>12.151701888150031</v>
      </c>
      <c r="R13" s="54">
        <v>6.4013740440297564</v>
      </c>
      <c r="S13" s="37"/>
      <c r="T13" s="50">
        <f>4194/K13*100</f>
        <v>4.8671796121575044</v>
      </c>
      <c r="U13" s="51">
        <f>1710/K13*100</f>
        <v>1.9844723740556347</v>
      </c>
      <c r="V13" s="50">
        <f t="shared" si="0"/>
        <v>4.4702851373463774</v>
      </c>
      <c r="W13" s="10"/>
      <c r="X13" s="8"/>
      <c r="Y13" s="8"/>
    </row>
    <row r="14" spans="1:53" ht="31.2">
      <c r="A14" s="64"/>
      <c r="B14" s="65"/>
      <c r="C14" s="64"/>
      <c r="D14" s="34" t="s">
        <v>246</v>
      </c>
      <c r="E14" s="35" t="s">
        <v>90</v>
      </c>
      <c r="F14" s="34" t="s">
        <v>91</v>
      </c>
      <c r="G14" s="34" t="s">
        <v>92</v>
      </c>
      <c r="H14" s="34">
        <v>1021.5</v>
      </c>
      <c r="I14" s="34">
        <v>1740589</v>
      </c>
      <c r="J14" s="34">
        <v>1801591</v>
      </c>
      <c r="K14" s="34">
        <f>J14-I14+1</f>
        <v>61003</v>
      </c>
      <c r="L14" s="36">
        <f>28542/K14*100</f>
        <v>46.787862891988915</v>
      </c>
      <c r="M14" s="36">
        <f>21980/K14*100</f>
        <v>36.03101486812124</v>
      </c>
      <c r="N14" s="36">
        <f t="shared" si="1"/>
        <v>10.756848023867676</v>
      </c>
      <c r="O14" s="37"/>
      <c r="P14" s="54">
        <v>18.156484107338983</v>
      </c>
      <c r="Q14" s="54">
        <v>11.953510483090996</v>
      </c>
      <c r="R14" s="54">
        <v>6.2029736242479867</v>
      </c>
      <c r="S14" s="37"/>
      <c r="T14" s="50">
        <f>2507/K14*100</f>
        <v>4.1096339524285694</v>
      </c>
      <c r="U14" s="51">
        <f>1204/K14*100</f>
        <v>1.9736734258970872</v>
      </c>
      <c r="V14" s="50">
        <f t="shared" si="0"/>
        <v>3.7148992672491525</v>
      </c>
      <c r="W14" s="9"/>
      <c r="X14" s="8"/>
      <c r="Y14" s="8"/>
    </row>
    <row r="15" spans="1:53" ht="31.2">
      <c r="A15" s="64"/>
      <c r="B15" s="65"/>
      <c r="C15" s="39" t="s">
        <v>93</v>
      </c>
      <c r="D15" s="34" t="s">
        <v>0</v>
      </c>
      <c r="E15" s="35" t="s">
        <v>10</v>
      </c>
      <c r="F15" s="34" t="s">
        <v>94</v>
      </c>
      <c r="G15" s="34" t="s">
        <v>11</v>
      </c>
      <c r="H15" s="34">
        <v>1799.14</v>
      </c>
      <c r="I15" s="34">
        <v>82847910</v>
      </c>
      <c r="J15" s="34">
        <v>82938030</v>
      </c>
      <c r="K15" s="34">
        <v>90121</v>
      </c>
      <c r="L15" s="36">
        <f>39731/K15*100</f>
        <v>44.086283995960983</v>
      </c>
      <c r="M15" s="36">
        <f>33152/K15*100</f>
        <v>36.786098689539621</v>
      </c>
      <c r="N15" s="36">
        <f t="shared" si="1"/>
        <v>7.300185306421362</v>
      </c>
      <c r="O15" s="37"/>
      <c r="P15" s="54">
        <v>17.768333684712776</v>
      </c>
      <c r="Q15" s="54">
        <v>12.42440718589452</v>
      </c>
      <c r="R15" s="54">
        <v>5.3439264988182558</v>
      </c>
      <c r="S15" s="37"/>
      <c r="T15" s="50">
        <f>4193/K15*100</f>
        <v>4.6526336813839171</v>
      </c>
      <c r="U15" s="51">
        <f>2074/K15*100</f>
        <v>2.3013504066754695</v>
      </c>
      <c r="V15" s="50">
        <f t="shared" si="0"/>
        <v>4.1923636000488234</v>
      </c>
      <c r="W15" s="9"/>
    </row>
    <row r="16" spans="1:53" ht="15.6">
      <c r="A16" s="64"/>
      <c r="B16" s="65"/>
      <c r="C16" s="40" t="s">
        <v>96</v>
      </c>
      <c r="D16" s="34" t="s">
        <v>1</v>
      </c>
      <c r="E16" s="35" t="s">
        <v>12</v>
      </c>
      <c r="F16" s="34" t="s">
        <v>97</v>
      </c>
      <c r="G16" s="34" t="s">
        <v>13</v>
      </c>
      <c r="H16" s="34">
        <v>1412.47</v>
      </c>
      <c r="I16" s="34">
        <v>527034</v>
      </c>
      <c r="J16" s="34">
        <v>597000</v>
      </c>
      <c r="K16" s="34">
        <v>69967</v>
      </c>
      <c r="L16" s="36">
        <f>33940/K16*100</f>
        <v>48.508582617519686</v>
      </c>
      <c r="M16" s="36">
        <f>26698/K16*100</f>
        <v>38.157988766132604</v>
      </c>
      <c r="N16" s="36">
        <f t="shared" si="1"/>
        <v>10.350593851387082</v>
      </c>
      <c r="O16" s="37"/>
      <c r="P16" s="54">
        <v>23.026569668558032</v>
      </c>
      <c r="Q16" s="54">
        <v>13.340574842425715</v>
      </c>
      <c r="R16" s="54">
        <v>9.6859948261323172</v>
      </c>
      <c r="S16" s="37"/>
      <c r="T16" s="50">
        <f>6089/K16*100</f>
        <v>8.7026741177983915</v>
      </c>
      <c r="U16" s="51">
        <f>2040/K16*100</f>
        <v>2.9156602398273472</v>
      </c>
      <c r="V16" s="50">
        <f t="shared" si="0"/>
        <v>8.1195420698329226</v>
      </c>
      <c r="W16" s="9"/>
    </row>
    <row r="17" spans="1:23" ht="31.2">
      <c r="A17" s="64"/>
      <c r="B17" s="65"/>
      <c r="C17" s="41" t="s">
        <v>166</v>
      </c>
      <c r="D17" s="34" t="s">
        <v>2</v>
      </c>
      <c r="E17" s="35" t="s">
        <v>95</v>
      </c>
      <c r="F17" s="42" t="s">
        <v>180</v>
      </c>
      <c r="G17" s="34" t="s">
        <v>167</v>
      </c>
      <c r="H17" s="43">
        <v>1021.25</v>
      </c>
      <c r="I17" s="34">
        <v>4733543</v>
      </c>
      <c r="J17" s="34">
        <v>4808744</v>
      </c>
      <c r="K17" s="34">
        <f>J17-I17+1</f>
        <v>75202</v>
      </c>
      <c r="L17" s="36">
        <f>32584/K17*100</f>
        <v>43.328634876732004</v>
      </c>
      <c r="M17" s="36">
        <f>28894/K17*100</f>
        <v>38.421850482699924</v>
      </c>
      <c r="N17" s="36">
        <f t="shared" si="1"/>
        <v>4.9067843940320799</v>
      </c>
      <c r="O17" s="37"/>
      <c r="P17" s="54">
        <v>16.894497486768969</v>
      </c>
      <c r="Q17" s="54">
        <v>13.647243424377011</v>
      </c>
      <c r="R17" s="54">
        <v>3.2472540623919581</v>
      </c>
      <c r="S17" s="37"/>
      <c r="T17" s="50">
        <f>3443/K17*100</f>
        <v>4.5783356825616339</v>
      </c>
      <c r="U17" s="51">
        <f>1804/K17*100</f>
        <v>2.3988723704156807</v>
      </c>
      <c r="V17" s="50">
        <f t="shared" si="0"/>
        <v>4.0985612084784977</v>
      </c>
      <c r="W17" s="9"/>
    </row>
    <row r="18" spans="1:23" ht="31.2">
      <c r="A18" s="64"/>
      <c r="B18" s="66" t="s">
        <v>98</v>
      </c>
      <c r="C18" s="67" t="s">
        <v>99</v>
      </c>
      <c r="D18" s="34" t="s">
        <v>3</v>
      </c>
      <c r="E18" s="35" t="s">
        <v>14</v>
      </c>
      <c r="F18" s="34" t="s">
        <v>100</v>
      </c>
      <c r="G18" s="34" t="s">
        <v>15</v>
      </c>
      <c r="H18" s="34">
        <v>139.72999999999999</v>
      </c>
      <c r="I18" s="34">
        <v>14340242</v>
      </c>
      <c r="J18" s="34">
        <v>14413944</v>
      </c>
      <c r="K18" s="34">
        <v>73703</v>
      </c>
      <c r="L18" s="36">
        <f>30968/K18*100</f>
        <v>42.017285592173998</v>
      </c>
      <c r="M18" s="36">
        <f>26965/K18*100</f>
        <v>36.586027705792169</v>
      </c>
      <c r="N18" s="36">
        <f t="shared" si="1"/>
        <v>5.4312578863818288</v>
      </c>
      <c r="O18" s="37"/>
      <c r="P18" s="54">
        <v>17.182475611576191</v>
      </c>
      <c r="Q18" s="54">
        <v>12.957410146127025</v>
      </c>
      <c r="R18" s="54">
        <v>4.2250654654491662</v>
      </c>
      <c r="S18" s="37"/>
      <c r="T18" s="50">
        <f>3150/K18*100</f>
        <v>4.2739101529110073</v>
      </c>
      <c r="U18" s="51">
        <f>1802/K18*100</f>
        <v>2.4449479668398841</v>
      </c>
      <c r="V18" s="50">
        <f t="shared" si="0"/>
        <v>3.7849205595430306</v>
      </c>
      <c r="W18" s="9"/>
    </row>
    <row r="19" spans="1:23" ht="31.5" customHeight="1">
      <c r="A19" s="64"/>
      <c r="B19" s="66"/>
      <c r="C19" s="67"/>
      <c r="D19" s="34" t="s">
        <v>4</v>
      </c>
      <c r="E19" s="35" t="s">
        <v>16</v>
      </c>
      <c r="F19" s="34" t="s">
        <v>101</v>
      </c>
      <c r="G19" s="34" t="s">
        <v>17</v>
      </c>
      <c r="H19" s="34">
        <v>265.02999999999997</v>
      </c>
      <c r="I19" s="34">
        <v>35400270</v>
      </c>
      <c r="J19" s="34">
        <v>35470814</v>
      </c>
      <c r="K19" s="34">
        <v>70545</v>
      </c>
      <c r="L19" s="36">
        <f>31005/K19*100</f>
        <v>43.950669785243463</v>
      </c>
      <c r="M19" s="36">
        <f>25346/K19*100</f>
        <v>35.928839747678786</v>
      </c>
      <c r="N19" s="36">
        <f t="shared" si="1"/>
        <v>8.0218300375646763</v>
      </c>
      <c r="O19" s="37"/>
      <c r="P19" s="54">
        <v>20.636473173151888</v>
      </c>
      <c r="Q19" s="54">
        <v>12.204975547522858</v>
      </c>
      <c r="R19" s="54">
        <v>8.4314976256290297</v>
      </c>
      <c r="S19" s="37"/>
      <c r="T19" s="50">
        <f>4196/K19*100</f>
        <v>5.9479764689205474</v>
      </c>
      <c r="U19" s="51">
        <f>1311/K19*100</f>
        <v>1.8583882628109716</v>
      </c>
      <c r="V19" s="50">
        <f t="shared" si="0"/>
        <v>5.5762988163583529</v>
      </c>
      <c r="W19" s="9"/>
    </row>
    <row r="20" spans="1:23" ht="15.6">
      <c r="A20" s="64"/>
      <c r="B20" s="66"/>
      <c r="C20" s="67"/>
      <c r="D20" s="34" t="s">
        <v>26</v>
      </c>
      <c r="E20" s="35" t="s">
        <v>102</v>
      </c>
      <c r="F20" s="34" t="s">
        <v>103</v>
      </c>
      <c r="G20" s="34" t="s">
        <v>104</v>
      </c>
      <c r="H20" s="34">
        <v>219.63</v>
      </c>
      <c r="I20" s="34">
        <v>2702145</v>
      </c>
      <c r="J20" s="34">
        <v>2756714</v>
      </c>
      <c r="K20" s="34">
        <f>J20-I20+1</f>
        <v>54570</v>
      </c>
      <c r="L20" s="36">
        <f>28205/K20*100</f>
        <v>51.685908008063045</v>
      </c>
      <c r="M20" s="36">
        <f>24733/K20*100</f>
        <v>45.323437786329485</v>
      </c>
      <c r="N20" s="36">
        <f t="shared" si="1"/>
        <v>6.3624702217335596</v>
      </c>
      <c r="O20" s="37"/>
      <c r="P20" s="54">
        <v>26.582371266263515</v>
      </c>
      <c r="Q20" s="54">
        <v>19.094740700018324</v>
      </c>
      <c r="R20" s="54">
        <v>7.4876305662451905</v>
      </c>
      <c r="S20" s="37"/>
      <c r="T20" s="50">
        <f>5113/K20*100</f>
        <v>9.3696170056807784</v>
      </c>
      <c r="U20" s="51">
        <f>2434/K20*100</f>
        <v>4.460326186549386</v>
      </c>
      <c r="V20" s="50">
        <f t="shared" si="0"/>
        <v>8.4775517683709012</v>
      </c>
      <c r="W20" s="9"/>
    </row>
    <row r="21" spans="1:23" ht="31.2">
      <c r="A21" s="64"/>
      <c r="B21" s="58" t="s">
        <v>105</v>
      </c>
      <c r="C21" s="58"/>
      <c r="D21" s="34" t="s">
        <v>29</v>
      </c>
      <c r="E21" s="35" t="s">
        <v>18</v>
      </c>
      <c r="F21" s="34" t="s">
        <v>106</v>
      </c>
      <c r="G21" s="34" t="s">
        <v>181</v>
      </c>
      <c r="H21" s="34">
        <v>100.28</v>
      </c>
      <c r="I21" s="34">
        <v>5417105</v>
      </c>
      <c r="J21" s="34">
        <v>5484643</v>
      </c>
      <c r="K21" s="34">
        <v>67539</v>
      </c>
      <c r="L21" s="36">
        <f>31930/K21*100</f>
        <v>47.276388457039637</v>
      </c>
      <c r="M21" s="36">
        <f>27164/K21*100</f>
        <v>40.219724899687584</v>
      </c>
      <c r="N21" s="36">
        <f t="shared" si="1"/>
        <v>7.0566635573520529</v>
      </c>
      <c r="O21" s="37"/>
      <c r="P21" s="54">
        <v>21.005641185093058</v>
      </c>
      <c r="Q21" s="54">
        <v>15.303750425679977</v>
      </c>
      <c r="R21" s="54">
        <v>5.7018907594130805</v>
      </c>
      <c r="S21" s="37"/>
      <c r="T21" s="50">
        <f>4187/K21*100</f>
        <v>6.1993810983283737</v>
      </c>
      <c r="U21" s="51">
        <f>2058/K21*100</f>
        <v>3.0471283258561721</v>
      </c>
      <c r="V21" s="50">
        <f t="shared" si="0"/>
        <v>5.5899554331571393</v>
      </c>
      <c r="W21" s="7"/>
    </row>
    <row r="22" spans="1:23" ht="31.5" customHeight="1">
      <c r="A22" s="65" t="s">
        <v>107</v>
      </c>
      <c r="B22" s="64" t="s">
        <v>108</v>
      </c>
      <c r="C22" s="64"/>
      <c r="D22" s="34" t="s">
        <v>32</v>
      </c>
      <c r="E22" s="35" t="s">
        <v>19</v>
      </c>
      <c r="F22" s="34" t="s">
        <v>109</v>
      </c>
      <c r="G22" s="34" t="s">
        <v>20</v>
      </c>
      <c r="H22" s="34">
        <v>119.67</v>
      </c>
      <c r="I22" s="34">
        <v>64166</v>
      </c>
      <c r="J22" s="34">
        <v>141971</v>
      </c>
      <c r="K22" s="34">
        <f>J22-I22+1</f>
        <v>77806</v>
      </c>
      <c r="L22" s="36">
        <f>35139/K22*100</f>
        <v>45.162326812842196</v>
      </c>
      <c r="M22" s="36">
        <f>29945/K22*100</f>
        <v>38.486749093900215</v>
      </c>
      <c r="N22" s="36">
        <f t="shared" si="1"/>
        <v>6.6755777189419803</v>
      </c>
      <c r="O22" s="37"/>
      <c r="P22" s="54">
        <v>19.842942703647534</v>
      </c>
      <c r="Q22" s="54">
        <v>13.77914299668406</v>
      </c>
      <c r="R22" s="54">
        <v>6.0637997069634739</v>
      </c>
      <c r="S22" s="37"/>
      <c r="T22" s="50">
        <f>4068/K22*100</f>
        <v>5.2283885561524812</v>
      </c>
      <c r="U22" s="51">
        <f>2079/K22*100</f>
        <v>2.6720304346708481</v>
      </c>
      <c r="V22" s="50">
        <f t="shared" si="0"/>
        <v>4.6939824692183114</v>
      </c>
      <c r="W22" s="9"/>
    </row>
    <row r="23" spans="1:23" ht="15.6">
      <c r="A23" s="65"/>
      <c r="B23" s="64"/>
      <c r="C23" s="64"/>
      <c r="D23" s="34" t="s">
        <v>35</v>
      </c>
      <c r="E23" s="35" t="s">
        <v>110</v>
      </c>
      <c r="F23" s="34" t="s">
        <v>111</v>
      </c>
      <c r="G23" s="34" t="s">
        <v>112</v>
      </c>
      <c r="H23" s="34">
        <v>239.01</v>
      </c>
      <c r="I23" s="34">
        <v>7561880</v>
      </c>
      <c r="J23" s="34">
        <v>7646050</v>
      </c>
      <c r="K23" s="34">
        <f>J23-I23+1</f>
        <v>84171</v>
      </c>
      <c r="L23" s="36">
        <f>39416/K23*100</f>
        <v>46.828480117855321</v>
      </c>
      <c r="M23" s="36">
        <f>33935/K23*100</f>
        <v>40.316736168038872</v>
      </c>
      <c r="N23" s="36">
        <f t="shared" si="1"/>
        <v>6.5117439498164487</v>
      </c>
      <c r="O23" s="37"/>
      <c r="P23" s="54">
        <v>21.703437050765704</v>
      </c>
      <c r="Q23" s="54">
        <v>15.476826935642919</v>
      </c>
      <c r="R23" s="54">
        <v>6.2266101151227851</v>
      </c>
      <c r="S23" s="37"/>
      <c r="T23" s="50">
        <f>5037/K23*100</f>
        <v>5.9842463556331751</v>
      </c>
      <c r="U23" s="51">
        <f>3010/K23*100</f>
        <v>3.5760535101163109</v>
      </c>
      <c r="V23" s="50">
        <f t="shared" si="0"/>
        <v>5.2690356536099134</v>
      </c>
    </row>
    <row r="24" spans="1:23" ht="31.2">
      <c r="A24" s="65"/>
      <c r="B24" s="64"/>
      <c r="C24" s="64"/>
      <c r="D24" s="34" t="s">
        <v>38</v>
      </c>
      <c r="E24" s="35" t="s">
        <v>113</v>
      </c>
      <c r="F24" s="34" t="s">
        <v>114</v>
      </c>
      <c r="G24" s="34" t="s">
        <v>115</v>
      </c>
      <c r="H24" s="34">
        <v>330.46</v>
      </c>
      <c r="I24" s="34">
        <v>9012807</v>
      </c>
      <c r="J24" s="34">
        <v>9092881</v>
      </c>
      <c r="K24" s="34">
        <v>80075</v>
      </c>
      <c r="L24" s="36">
        <f>36455/K24*100</f>
        <v>45.526069310021853</v>
      </c>
      <c r="M24" s="36">
        <f>32223/K24*100</f>
        <v>40.241024039962539</v>
      </c>
      <c r="N24" s="36">
        <f t="shared" si="1"/>
        <v>5.2850452700593138</v>
      </c>
      <c r="O24" s="37"/>
      <c r="P24" s="54">
        <v>18.101779581642212</v>
      </c>
      <c r="Q24" s="54">
        <v>15.361848267249453</v>
      </c>
      <c r="R24" s="54">
        <v>2.7399313143927593</v>
      </c>
      <c r="S24" s="37"/>
      <c r="T24" s="50">
        <f>2676/K24*100</f>
        <v>3.3418669996877925</v>
      </c>
      <c r="U24" s="51">
        <f>2414/K24*100</f>
        <v>3.0146737433655946</v>
      </c>
      <c r="V24" s="50">
        <f t="shared" si="0"/>
        <v>2.7389322510146732</v>
      </c>
    </row>
    <row r="25" spans="1:23" ht="15.6">
      <c r="A25" s="65"/>
      <c r="B25" s="64"/>
      <c r="C25" s="64"/>
      <c r="D25" s="34" t="s">
        <v>41</v>
      </c>
      <c r="E25" s="35" t="s">
        <v>116</v>
      </c>
      <c r="F25" s="34" t="s">
        <v>117</v>
      </c>
      <c r="G25" s="34" t="s">
        <v>118</v>
      </c>
      <c r="H25" s="34">
        <v>950.7</v>
      </c>
      <c r="I25" s="34">
        <v>12545970</v>
      </c>
      <c r="J25" s="34">
        <v>12632073</v>
      </c>
      <c r="K25" s="34">
        <v>86104</v>
      </c>
      <c r="L25" s="36">
        <f>40036/K25*100</f>
        <v>46.49725912849577</v>
      </c>
      <c r="M25" s="36">
        <f>34763/K25*100</f>
        <v>40.373269534516396</v>
      </c>
      <c r="N25" s="36">
        <f t="shared" si="1"/>
        <v>6.123989593979374</v>
      </c>
      <c r="O25" s="37"/>
      <c r="P25" s="54">
        <v>20.110563969153581</v>
      </c>
      <c r="Q25" s="54">
        <v>15.533540834339869</v>
      </c>
      <c r="R25" s="54">
        <v>4.5770231348137127</v>
      </c>
      <c r="S25" s="37"/>
      <c r="T25" s="50">
        <f>4342/K25*100</f>
        <v>5.0427390132862584</v>
      </c>
      <c r="U25" s="51">
        <f>2839/K25*100</f>
        <v>3.297175508687169</v>
      </c>
      <c r="V25" s="50">
        <f t="shared" si="0"/>
        <v>4.3833039115488246</v>
      </c>
    </row>
    <row r="26" spans="1:23" ht="15.6">
      <c r="A26" s="65"/>
      <c r="B26" s="64"/>
      <c r="C26" s="64"/>
      <c r="D26" s="34" t="s">
        <v>44</v>
      </c>
      <c r="E26" s="35" t="s">
        <v>119</v>
      </c>
      <c r="F26" s="34" t="s">
        <v>165</v>
      </c>
      <c r="G26" s="34" t="s">
        <v>168</v>
      </c>
      <c r="H26" s="34">
        <v>191.86</v>
      </c>
      <c r="I26" s="34">
        <v>2872725</v>
      </c>
      <c r="J26" s="34">
        <v>2943047</v>
      </c>
      <c r="K26" s="34">
        <f>J26-I26+1</f>
        <v>70323</v>
      </c>
      <c r="L26" s="36">
        <f>33590/K26*100</f>
        <v>47.765311491261748</v>
      </c>
      <c r="M26" s="36">
        <f>28642/K26*100</f>
        <v>40.729206660694224</v>
      </c>
      <c r="N26" s="36">
        <f t="shared" si="1"/>
        <v>7.036104830567524</v>
      </c>
      <c r="O26" s="37"/>
      <c r="P26" s="54">
        <v>21.563357649702088</v>
      </c>
      <c r="Q26" s="54">
        <v>15.770089444420742</v>
      </c>
      <c r="R26" s="54">
        <v>5.7932682052813451</v>
      </c>
      <c r="S26" s="37"/>
      <c r="T26" s="50">
        <f>4554/K26*100</f>
        <v>6.4758329422806193</v>
      </c>
      <c r="U26" s="51">
        <f>2430/K26*100</f>
        <v>3.4554839810588289</v>
      </c>
      <c r="V26" s="50">
        <f t="shared" si="0"/>
        <v>5.7847361460688536</v>
      </c>
    </row>
    <row r="27" spans="1:23" ht="15.6">
      <c r="A27" s="65"/>
      <c r="B27" s="64"/>
      <c r="C27" s="64"/>
      <c r="D27" s="34" t="s">
        <v>47</v>
      </c>
      <c r="E27" s="35" t="s">
        <v>120</v>
      </c>
      <c r="F27" s="34" t="s">
        <v>121</v>
      </c>
      <c r="G27" s="34" t="s">
        <v>122</v>
      </c>
      <c r="H27" s="34">
        <v>426.18</v>
      </c>
      <c r="I27" s="34">
        <v>8645075</v>
      </c>
      <c r="J27" s="34">
        <v>8724005</v>
      </c>
      <c r="K27" s="34">
        <v>78931</v>
      </c>
      <c r="L27" s="36">
        <f>36344/K27*100</f>
        <v>46.04528005473135</v>
      </c>
      <c r="M27" s="36">
        <f>31266/K27*100</f>
        <v>39.611812849197399</v>
      </c>
      <c r="N27" s="36">
        <f t="shared" si="1"/>
        <v>6.433467205533951</v>
      </c>
      <c r="O27" s="37"/>
      <c r="P27" s="54">
        <v>19.1939795517604</v>
      </c>
      <c r="Q27" s="54">
        <v>14.8256071758878</v>
      </c>
      <c r="R27" s="54">
        <v>4.3683723758725996</v>
      </c>
      <c r="S27" s="37"/>
      <c r="T27" s="50">
        <f>4136/K27*100</f>
        <v>5.2400197640977568</v>
      </c>
      <c r="U27" s="51">
        <f>2399/K27*100</f>
        <v>3.0393634946979007</v>
      </c>
      <c r="V27" s="50">
        <f t="shared" si="0"/>
        <v>4.6321470651581764</v>
      </c>
    </row>
    <row r="28" spans="1:23" ht="31.2">
      <c r="A28" s="65"/>
      <c r="B28" s="64"/>
      <c r="C28" s="64"/>
      <c r="D28" s="34" t="s">
        <v>48</v>
      </c>
      <c r="E28" s="35" t="s">
        <v>123</v>
      </c>
      <c r="F28" s="34" t="s">
        <v>124</v>
      </c>
      <c r="G28" s="34" t="s">
        <v>125</v>
      </c>
      <c r="H28" s="34">
        <v>759.85</v>
      </c>
      <c r="I28" s="34">
        <v>19068678</v>
      </c>
      <c r="J28" s="34">
        <v>19123092</v>
      </c>
      <c r="K28" s="34">
        <v>54415</v>
      </c>
      <c r="L28" s="36">
        <f>24122/K28*100</f>
        <v>44.329688505007809</v>
      </c>
      <c r="M28" s="36">
        <f>21119/K28*100</f>
        <v>38.810989616833588</v>
      </c>
      <c r="N28" s="36">
        <f t="shared" si="1"/>
        <v>5.5186988881742209</v>
      </c>
      <c r="O28" s="37"/>
      <c r="P28" s="54">
        <v>18.14021868969953</v>
      </c>
      <c r="Q28" s="54">
        <v>14.637508040062484</v>
      </c>
      <c r="R28" s="54">
        <v>3.5027106496370468</v>
      </c>
      <c r="S28" s="37"/>
      <c r="T28" s="50">
        <f>2344/K28*100</f>
        <v>4.3076357621979238</v>
      </c>
      <c r="U28" s="51">
        <f>1639/K28*100</f>
        <v>3.0120371221170634</v>
      </c>
      <c r="V28" s="50">
        <f t="shared" si="0"/>
        <v>3.7052283377745114</v>
      </c>
    </row>
    <row r="29" spans="1:23" ht="15.6">
      <c r="A29" s="65"/>
      <c r="B29" s="64"/>
      <c r="C29" s="64"/>
      <c r="D29" s="34" t="s">
        <v>49</v>
      </c>
      <c r="E29" s="35" t="s">
        <v>126</v>
      </c>
      <c r="F29" s="34" t="s">
        <v>127</v>
      </c>
      <c r="G29" s="34" t="s">
        <v>128</v>
      </c>
      <c r="H29" s="34">
        <v>376.57</v>
      </c>
      <c r="I29" s="34">
        <v>12009691</v>
      </c>
      <c r="J29" s="34">
        <v>12066430</v>
      </c>
      <c r="K29" s="34">
        <v>56740</v>
      </c>
      <c r="L29" s="36">
        <f>26266/K29*100</f>
        <v>46.291857596052168</v>
      </c>
      <c r="M29" s="36">
        <f>22726/K29*100</f>
        <v>40.052872752908002</v>
      </c>
      <c r="N29" s="36">
        <f t="shared" si="1"/>
        <v>6.2389848431441663</v>
      </c>
      <c r="O29" s="37"/>
      <c r="P29" s="54">
        <v>20.470567500881213</v>
      </c>
      <c r="Q29" s="54">
        <v>15.428269298554811</v>
      </c>
      <c r="R29" s="54">
        <v>5.0422982023264016</v>
      </c>
      <c r="S29" s="37"/>
      <c r="T29" s="50">
        <f>3345/K29*100</f>
        <v>5.8953119492421573</v>
      </c>
      <c r="U29" s="51">
        <f>1726/K29*100</f>
        <v>3.0419457173070144</v>
      </c>
      <c r="V29" s="50">
        <f t="shared" si="0"/>
        <v>5.2869228057807538</v>
      </c>
    </row>
    <row r="30" spans="1:23" ht="15.6">
      <c r="A30" s="65"/>
      <c r="B30" s="58" t="s">
        <v>129</v>
      </c>
      <c r="C30" s="58"/>
      <c r="D30" s="34" t="s">
        <v>52</v>
      </c>
      <c r="E30" s="35" t="s">
        <v>177</v>
      </c>
      <c r="F30" s="34" t="s">
        <v>130</v>
      </c>
      <c r="G30" s="34" t="s">
        <v>21</v>
      </c>
      <c r="H30" s="34">
        <v>382.78</v>
      </c>
      <c r="I30" s="34">
        <v>10533405</v>
      </c>
      <c r="J30" s="34">
        <v>10591932</v>
      </c>
      <c r="K30" s="34">
        <v>58528</v>
      </c>
      <c r="L30" s="36">
        <f>25836/K30*100</f>
        <v>44.142974302897755</v>
      </c>
      <c r="M30" s="36">
        <f>21354/K30*100</f>
        <v>36.485101148168397</v>
      </c>
      <c r="N30" s="36">
        <f t="shared" si="1"/>
        <v>7.6578731547293586</v>
      </c>
      <c r="O30" s="37"/>
      <c r="P30" s="54">
        <v>20.357777474029522</v>
      </c>
      <c r="Q30" s="54">
        <v>12.117277200656096</v>
      </c>
      <c r="R30" s="54">
        <v>8.2405002733734261</v>
      </c>
      <c r="S30" s="37"/>
      <c r="T30" s="50">
        <f>3165/K30*100</f>
        <v>5.4076681246582829</v>
      </c>
      <c r="U30" s="51">
        <f>1198/K30*100</f>
        <v>2.0468835429196282</v>
      </c>
      <c r="V30" s="50">
        <f t="shared" si="0"/>
        <v>4.9982914160743572</v>
      </c>
    </row>
    <row r="31" spans="1:23" ht="31.2">
      <c r="A31" s="67" t="s">
        <v>140</v>
      </c>
      <c r="B31" s="67"/>
      <c r="C31" s="67"/>
      <c r="D31" s="34" t="s">
        <v>53</v>
      </c>
      <c r="E31" s="35" t="s">
        <v>178</v>
      </c>
      <c r="F31" s="34" t="s">
        <v>131</v>
      </c>
      <c r="G31" s="44" t="s">
        <v>22</v>
      </c>
      <c r="H31" s="34">
        <v>12.16</v>
      </c>
      <c r="I31" s="34">
        <v>36535</v>
      </c>
      <c r="J31" s="34">
        <v>107907</v>
      </c>
      <c r="K31" s="34">
        <v>71373</v>
      </c>
      <c r="L31" s="36">
        <f>29297/K31*100</f>
        <v>41.047735137937316</v>
      </c>
      <c r="M31" s="36">
        <f>26945/K31*100</f>
        <v>37.752371344906337</v>
      </c>
      <c r="N31" s="36">
        <f t="shared" si="1"/>
        <v>3.2953637930309796</v>
      </c>
      <c r="O31" s="37"/>
      <c r="P31" s="54">
        <v>17.22359996076948</v>
      </c>
      <c r="Q31" s="54">
        <v>13.435052470822301</v>
      </c>
      <c r="R31" s="54">
        <v>3.7885474899471792</v>
      </c>
      <c r="S31" s="37"/>
      <c r="T31" s="50">
        <f>2856/K31*100</f>
        <v>4.0015131772519013</v>
      </c>
      <c r="U31" s="51">
        <f>1744/K31*100</f>
        <v>2.4435010438120859</v>
      </c>
      <c r="V31" s="50">
        <f t="shared" si="0"/>
        <v>3.5128129684894844</v>
      </c>
    </row>
    <row r="32" spans="1:23" ht="31.2">
      <c r="A32" s="67"/>
      <c r="B32" s="67"/>
      <c r="C32" s="67"/>
      <c r="D32" s="34" t="s">
        <v>56</v>
      </c>
      <c r="E32" s="35" t="s">
        <v>132</v>
      </c>
      <c r="F32" s="34" t="s">
        <v>133</v>
      </c>
      <c r="G32" s="34" t="s">
        <v>145</v>
      </c>
      <c r="H32" s="34">
        <v>12.32</v>
      </c>
      <c r="I32" s="34">
        <v>3088</v>
      </c>
      <c r="J32" s="34">
        <v>88889</v>
      </c>
      <c r="K32" s="34">
        <v>85802</v>
      </c>
      <c r="L32" s="36">
        <f>36366/K32*100</f>
        <v>42.38362742127223</v>
      </c>
      <c r="M32" s="36">
        <f>33644/J32*100</f>
        <v>37.849452688184137</v>
      </c>
      <c r="N32" s="36">
        <f t="shared" si="1"/>
        <v>4.5341747330880935</v>
      </c>
      <c r="O32" s="37"/>
      <c r="P32" s="54">
        <v>17.702384559800471</v>
      </c>
      <c r="Q32" s="54">
        <v>14.472856110580173</v>
      </c>
      <c r="R32" s="54">
        <v>3.2295284492202985</v>
      </c>
      <c r="S32" s="37"/>
      <c r="T32" s="50">
        <f>3533/K32*100</f>
        <v>4.1176196359059229</v>
      </c>
      <c r="U32" s="51">
        <f>2404/K32*100</f>
        <v>2.8017994918533367</v>
      </c>
      <c r="V32" s="50">
        <f t="shared" si="0"/>
        <v>3.5572597375352557</v>
      </c>
    </row>
    <row r="33" spans="1:22" ht="30.75" customHeight="1">
      <c r="A33" s="67"/>
      <c r="B33" s="67"/>
      <c r="C33" s="67"/>
      <c r="D33" s="34" t="s">
        <v>57</v>
      </c>
      <c r="E33" s="35" t="s">
        <v>187</v>
      </c>
      <c r="F33" s="34" t="s">
        <v>109</v>
      </c>
      <c r="G33" s="44" t="s">
        <v>23</v>
      </c>
      <c r="H33" s="34">
        <v>40.98</v>
      </c>
      <c r="I33" s="34">
        <v>73369</v>
      </c>
      <c r="J33" s="34">
        <v>153237</v>
      </c>
      <c r="K33" s="34">
        <f>J33-I33+1</f>
        <v>79869</v>
      </c>
      <c r="L33" s="36">
        <f>30802/K33*100</f>
        <v>38.565651253928309</v>
      </c>
      <c r="M33" s="36">
        <f>28199/K33*100</f>
        <v>35.306564499367717</v>
      </c>
      <c r="N33" s="36">
        <f t="shared" si="1"/>
        <v>3.2590867545605917</v>
      </c>
      <c r="O33" s="37"/>
      <c r="P33" s="54">
        <v>16.123902890983988</v>
      </c>
      <c r="Q33" s="54">
        <v>11.457511675368416</v>
      </c>
      <c r="R33" s="54">
        <v>4.6663912156155725</v>
      </c>
      <c r="S33" s="37"/>
      <c r="T33" s="50">
        <f>2165/K33*100</f>
        <v>2.7106887528327639</v>
      </c>
      <c r="U33" s="51">
        <f>1535/K33*100</f>
        <v>1.9218971065119135</v>
      </c>
      <c r="V33" s="50">
        <f t="shared" si="0"/>
        <v>2.3263093315303811</v>
      </c>
    </row>
    <row r="34" spans="1:22" ht="31.2">
      <c r="A34" s="67"/>
      <c r="B34" s="67"/>
      <c r="C34" s="67"/>
      <c r="D34" s="34" t="s">
        <v>59</v>
      </c>
      <c r="E34" s="35" t="s">
        <v>134</v>
      </c>
      <c r="F34" s="34" t="s">
        <v>135</v>
      </c>
      <c r="G34" s="34" t="s">
        <v>146</v>
      </c>
      <c r="H34" s="34">
        <v>40.47</v>
      </c>
      <c r="I34" s="34">
        <v>4068268</v>
      </c>
      <c r="J34" s="34">
        <v>4143998</v>
      </c>
      <c r="K34" s="34">
        <v>75731</v>
      </c>
      <c r="L34" s="36">
        <f>29787/K34*100</f>
        <v>39.33263788937159</v>
      </c>
      <c r="M34" s="36">
        <f>16245/K34*100</f>
        <v>21.450924984484558</v>
      </c>
      <c r="N34" s="36">
        <f t="shared" si="1"/>
        <v>17.881712904887031</v>
      </c>
      <c r="O34" s="37"/>
      <c r="P34" s="54">
        <v>16.916454292165692</v>
      </c>
      <c r="Q34" s="54">
        <v>11.303165150334738</v>
      </c>
      <c r="R34" s="54">
        <v>5.6132891418309541</v>
      </c>
      <c r="S34" s="37"/>
      <c r="T34" s="50">
        <f>2459/K34*100</f>
        <v>3.2470190542842428</v>
      </c>
      <c r="U34" s="51">
        <f>1503/K34*100</f>
        <v>1.9846562174010645</v>
      </c>
      <c r="V34" s="50">
        <f t="shared" si="0"/>
        <v>2.8500878108040304</v>
      </c>
    </row>
    <row r="35" spans="1:22" ht="31.2">
      <c r="A35" s="67"/>
      <c r="B35" s="67"/>
      <c r="C35" s="67"/>
      <c r="D35" s="34" t="s">
        <v>62</v>
      </c>
      <c r="E35" s="35" t="s">
        <v>24</v>
      </c>
      <c r="F35" s="34" t="s">
        <v>109</v>
      </c>
      <c r="G35" s="44" t="s">
        <v>25</v>
      </c>
      <c r="H35" s="44">
        <v>29.42</v>
      </c>
      <c r="I35" s="34">
        <v>3269687</v>
      </c>
      <c r="J35" s="34">
        <v>3344834</v>
      </c>
      <c r="K35" s="34">
        <v>75148</v>
      </c>
      <c r="L35" s="36">
        <f>27348/K35*100</f>
        <v>36.392186086123388</v>
      </c>
      <c r="M35" s="36">
        <f>26612/K35*100</f>
        <v>35.412785436738169</v>
      </c>
      <c r="N35" s="36">
        <f t="shared" si="1"/>
        <v>0.97940064938521942</v>
      </c>
      <c r="O35" s="37"/>
      <c r="P35" s="54">
        <v>15.103529036035557</v>
      </c>
      <c r="Q35" s="54">
        <v>11.473359237770799</v>
      </c>
      <c r="R35" s="54">
        <v>3.6301697982647578</v>
      </c>
      <c r="S35" s="37"/>
      <c r="T35" s="50">
        <f>1813/K35*100</f>
        <v>2.4125725235535209</v>
      </c>
      <c r="U35" s="51">
        <f>1510/K35*100</f>
        <v>2.0093681801245542</v>
      </c>
      <c r="V35" s="50">
        <f t="shared" si="0"/>
        <v>2.0106988875286103</v>
      </c>
    </row>
    <row r="36" spans="1:22" ht="31.2">
      <c r="A36" s="67"/>
      <c r="B36" s="67"/>
      <c r="C36" s="67"/>
      <c r="D36" s="34" t="s">
        <v>65</v>
      </c>
      <c r="E36" s="35" t="s">
        <v>27</v>
      </c>
      <c r="F36" s="34" t="s">
        <v>136</v>
      </c>
      <c r="G36" s="44" t="s">
        <v>28</v>
      </c>
      <c r="H36" s="44">
        <v>19.05</v>
      </c>
      <c r="I36" s="34">
        <v>49387</v>
      </c>
      <c r="J36" s="34">
        <v>116359</v>
      </c>
      <c r="K36" s="34">
        <v>66973</v>
      </c>
      <c r="L36" s="36">
        <f>27049/K36*100</f>
        <v>40.387917519000197</v>
      </c>
      <c r="M36" s="36">
        <f>23891/K36*100</f>
        <v>35.672584474340411</v>
      </c>
      <c r="N36" s="36">
        <f t="shared" si="1"/>
        <v>4.7153330446597863</v>
      </c>
      <c r="O36" s="37"/>
      <c r="P36" s="54">
        <v>17.40104221104027</v>
      </c>
      <c r="Q36" s="54">
        <v>11.668881489555492</v>
      </c>
      <c r="R36" s="54">
        <v>5.7321607214847781</v>
      </c>
      <c r="S36" s="37"/>
      <c r="T36" s="50">
        <f>2317/K36*100</f>
        <v>3.4596031236468425</v>
      </c>
      <c r="U36" s="51">
        <f>1255/K36*100</f>
        <v>1.8738894778492825</v>
      </c>
      <c r="V36" s="50">
        <f t="shared" si="0"/>
        <v>3.0848252280769861</v>
      </c>
    </row>
    <row r="37" spans="1:22" ht="31.2">
      <c r="A37" s="65" t="s">
        <v>141</v>
      </c>
      <c r="B37" s="65"/>
      <c r="C37" s="65"/>
      <c r="D37" s="34" t="s">
        <v>67</v>
      </c>
      <c r="E37" s="35" t="s">
        <v>30</v>
      </c>
      <c r="F37" s="34" t="s">
        <v>137</v>
      </c>
      <c r="G37" s="44" t="s">
        <v>31</v>
      </c>
      <c r="H37" s="44">
        <v>2.5</v>
      </c>
      <c r="I37" s="34">
        <v>26646</v>
      </c>
      <c r="J37" s="34">
        <v>89713</v>
      </c>
      <c r="K37" s="34">
        <v>63068</v>
      </c>
      <c r="L37" s="36">
        <f>25311/K37*100</f>
        <v>40.132872455127796</v>
      </c>
      <c r="M37" s="36">
        <f>22434/K37*100</f>
        <v>35.571129574427601</v>
      </c>
      <c r="N37" s="36">
        <f t="shared" si="1"/>
        <v>4.5617428807001943</v>
      </c>
      <c r="O37" s="37"/>
      <c r="P37" s="54">
        <v>14.895033931629353</v>
      </c>
      <c r="Q37" s="54">
        <v>11.920466797742121</v>
      </c>
      <c r="R37" s="54">
        <v>2.9745671338872324</v>
      </c>
      <c r="S37" s="37"/>
      <c r="T37" s="50">
        <f>1660/K37*100</f>
        <v>2.6320796600494702</v>
      </c>
      <c r="U37" s="51">
        <f>1400/K37*100</f>
        <v>2.2198262193188305</v>
      </c>
      <c r="V37" s="50">
        <f t="shared" si="0"/>
        <v>2.1881144161857042</v>
      </c>
    </row>
    <row r="38" spans="1:22" ht="31.2">
      <c r="A38" s="65"/>
      <c r="B38" s="65"/>
      <c r="C38" s="65"/>
      <c r="D38" s="34" t="s">
        <v>70</v>
      </c>
      <c r="E38" s="35" t="s">
        <v>33</v>
      </c>
      <c r="F38" s="34" t="s">
        <v>109</v>
      </c>
      <c r="G38" s="44" t="s">
        <v>34</v>
      </c>
      <c r="H38" s="44">
        <v>34.21</v>
      </c>
      <c r="I38" s="34">
        <v>4851386</v>
      </c>
      <c r="J38" s="34">
        <v>4919783</v>
      </c>
      <c r="K38" s="34">
        <v>68398</v>
      </c>
      <c r="L38" s="36">
        <f>41033/K38*100</f>
        <v>59.991520219889473</v>
      </c>
      <c r="M38" s="36">
        <f>34194/K38*100</f>
        <v>49.992689844732304</v>
      </c>
      <c r="N38" s="36">
        <f t="shared" si="1"/>
        <v>9.9988303751571692</v>
      </c>
      <c r="O38" s="37"/>
      <c r="P38" s="54">
        <v>37.192607970993301</v>
      </c>
      <c r="Q38" s="54">
        <v>23.414427322436328</v>
      </c>
      <c r="R38" s="54">
        <v>13.778180648556972</v>
      </c>
      <c r="S38" s="37"/>
      <c r="T38" s="50">
        <f>12833/K38*100</f>
        <v>18.762244510073394</v>
      </c>
      <c r="U38" s="51">
        <f>4824/K38*100</f>
        <v>7.0528378022749205</v>
      </c>
      <c r="V38" s="50">
        <f t="shared" ref="V38:V60" si="2">(T38*5-SUM(U38:U38))/5</f>
        <v>17.351676949618412</v>
      </c>
    </row>
    <row r="39" spans="1:22" ht="31.2">
      <c r="A39" s="65"/>
      <c r="B39" s="65"/>
      <c r="C39" s="65"/>
      <c r="D39" s="34" t="s">
        <v>147</v>
      </c>
      <c r="E39" s="35" t="s">
        <v>36</v>
      </c>
      <c r="F39" s="34" t="s">
        <v>89</v>
      </c>
      <c r="G39" s="44" t="s">
        <v>37</v>
      </c>
      <c r="H39" s="44">
        <v>27.01</v>
      </c>
      <c r="I39" s="34">
        <v>54398</v>
      </c>
      <c r="J39" s="34">
        <v>131483</v>
      </c>
      <c r="K39" s="34">
        <v>77086</v>
      </c>
      <c r="L39" s="36">
        <f>37573/K39*100</f>
        <v>48.74166515320551</v>
      </c>
      <c r="M39" s="36">
        <f>27860/K39*100</f>
        <v>36.141452403808735</v>
      </c>
      <c r="N39" s="36">
        <f t="shared" si="1"/>
        <v>12.600212749396775</v>
      </c>
      <c r="O39" s="37"/>
      <c r="P39" s="54">
        <v>23.486755052798173</v>
      </c>
      <c r="Q39" s="54">
        <v>12.304439197779104</v>
      </c>
      <c r="R39" s="54">
        <v>11.18231585501907</v>
      </c>
      <c r="S39" s="37"/>
      <c r="T39" s="50">
        <f>6945/K39*100</f>
        <v>9.0094180525646674</v>
      </c>
      <c r="U39" s="51">
        <f>1674/K39*100</f>
        <v>2.1716005500350257</v>
      </c>
      <c r="V39" s="50">
        <f t="shared" si="2"/>
        <v>8.5750979425576634</v>
      </c>
    </row>
    <row r="40" spans="1:22" ht="31.2">
      <c r="A40" s="65"/>
      <c r="B40" s="65"/>
      <c r="C40" s="65"/>
      <c r="D40" s="34" t="s">
        <v>148</v>
      </c>
      <c r="E40" s="35" t="s">
        <v>39</v>
      </c>
      <c r="F40" s="34" t="s">
        <v>203</v>
      </c>
      <c r="G40" s="44" t="s">
        <v>40</v>
      </c>
      <c r="H40" s="44">
        <v>0.98</v>
      </c>
      <c r="I40" s="34">
        <v>45658</v>
      </c>
      <c r="J40" s="34">
        <v>112781</v>
      </c>
      <c r="K40" s="34">
        <f>J40-I40+1</f>
        <v>67124</v>
      </c>
      <c r="L40" s="36">
        <f>30262/K40*100</f>
        <v>45.083725642095231</v>
      </c>
      <c r="M40" s="36">
        <f>29215/K40*100</f>
        <v>43.523925868541802</v>
      </c>
      <c r="N40" s="36">
        <f t="shared" si="1"/>
        <v>1.5597997735534292</v>
      </c>
      <c r="O40" s="37"/>
      <c r="P40" s="54">
        <v>19.772361599427924</v>
      </c>
      <c r="Q40" s="54">
        <v>17.627078243251297</v>
      </c>
      <c r="R40" s="54">
        <v>2.1452833561766269</v>
      </c>
      <c r="S40" s="37"/>
      <c r="T40" s="50">
        <f>2862/K40*100</f>
        <v>4.2637506704010484</v>
      </c>
      <c r="U40" s="51">
        <f>2675/K40*100</f>
        <v>3.9851617901197782</v>
      </c>
      <c r="V40" s="50">
        <f t="shared" si="2"/>
        <v>3.4667183123770924</v>
      </c>
    </row>
    <row r="41" spans="1:22" ht="31.2">
      <c r="A41" s="65"/>
      <c r="B41" s="65"/>
      <c r="C41" s="65"/>
      <c r="D41" s="34" t="s">
        <v>149</v>
      </c>
      <c r="E41" s="35" t="s">
        <v>42</v>
      </c>
      <c r="F41" s="34" t="s">
        <v>97</v>
      </c>
      <c r="G41" s="44" t="s">
        <v>43</v>
      </c>
      <c r="H41" s="44">
        <v>32.35</v>
      </c>
      <c r="I41" s="34">
        <v>202413</v>
      </c>
      <c r="J41" s="34">
        <v>269458</v>
      </c>
      <c r="K41" s="34">
        <v>67046</v>
      </c>
      <c r="L41" s="36">
        <f>28869/K41*100</f>
        <v>43.058497151209622</v>
      </c>
      <c r="M41" s="36">
        <f>24675/K41*100</f>
        <v>36.8030904155356</v>
      </c>
      <c r="N41" s="36">
        <f t="shared" si="1"/>
        <v>6.2554067356740219</v>
      </c>
      <c r="O41" s="37"/>
      <c r="P41" s="54">
        <v>21.245115293977268</v>
      </c>
      <c r="Q41" s="54">
        <v>12.622676968051785</v>
      </c>
      <c r="R41" s="54">
        <v>8.6224383259254829</v>
      </c>
      <c r="S41" s="37"/>
      <c r="T41" s="50">
        <f>4507/K41*100</f>
        <v>6.7222503952510211</v>
      </c>
      <c r="U41" s="51">
        <f>1409/K41*100</f>
        <v>2.1015422247412223</v>
      </c>
      <c r="V41" s="50">
        <f t="shared" si="2"/>
        <v>6.3019419503027763</v>
      </c>
    </row>
    <row r="42" spans="1:22" ht="15.6">
      <c r="A42" s="68" t="s">
        <v>142</v>
      </c>
      <c r="B42" s="68"/>
      <c r="C42" s="68"/>
      <c r="D42" s="34" t="s">
        <v>150</v>
      </c>
      <c r="E42" s="35" t="s">
        <v>45</v>
      </c>
      <c r="F42" s="34" t="s">
        <v>203</v>
      </c>
      <c r="G42" s="44" t="s">
        <v>46</v>
      </c>
      <c r="H42" s="44">
        <v>5.13</v>
      </c>
      <c r="I42" s="34">
        <v>3878856</v>
      </c>
      <c r="J42" s="34">
        <v>3946839</v>
      </c>
      <c r="K42" s="34">
        <v>67984</v>
      </c>
      <c r="L42" s="36">
        <f>25090/K42*100</f>
        <v>36.905742527653565</v>
      </c>
      <c r="M42" s="36">
        <f>24330/K42*100</f>
        <v>35.787832431160268</v>
      </c>
      <c r="N42" s="36">
        <f t="shared" si="1"/>
        <v>1.1179100964932971</v>
      </c>
      <c r="O42" s="37"/>
      <c r="P42" s="54">
        <v>14.000353024240997</v>
      </c>
      <c r="Q42" s="54">
        <v>11.801306189691692</v>
      </c>
      <c r="R42" s="54">
        <v>2.1990468345493053</v>
      </c>
      <c r="S42" s="37"/>
      <c r="T42" s="50">
        <f>1488/K42*100</f>
        <v>2.1887502941868675</v>
      </c>
      <c r="U42" s="51">
        <f>1199/K42*100</f>
        <v>1.7636502706519182</v>
      </c>
      <c r="V42" s="50">
        <f t="shared" si="2"/>
        <v>1.8360202400564838</v>
      </c>
    </row>
    <row r="43" spans="1:22" ht="33.75" customHeight="1">
      <c r="A43" s="68"/>
      <c r="B43" s="68"/>
      <c r="C43" s="68"/>
      <c r="D43" s="34" t="s">
        <v>151</v>
      </c>
      <c r="E43" s="35" t="s">
        <v>188</v>
      </c>
      <c r="F43" s="34" t="s">
        <v>203</v>
      </c>
      <c r="G43" s="44" t="s">
        <v>183</v>
      </c>
      <c r="H43" s="44">
        <v>1.81</v>
      </c>
      <c r="I43" s="34">
        <v>500000</v>
      </c>
      <c r="J43" s="34">
        <v>570000</v>
      </c>
      <c r="K43" s="34">
        <f>J43-I43+1</f>
        <v>70001</v>
      </c>
      <c r="L43" s="36">
        <f>27666/K43*100</f>
        <v>39.522292538678016</v>
      </c>
      <c r="M43" s="36">
        <f>26035/K43*100</f>
        <v>37.192325823916796</v>
      </c>
      <c r="N43" s="36">
        <f t="shared" si="1"/>
        <v>2.3299667147612197</v>
      </c>
      <c r="O43" s="37"/>
      <c r="P43" s="54">
        <v>15.639776574620361</v>
      </c>
      <c r="Q43" s="54">
        <v>12.789817288324453</v>
      </c>
      <c r="R43" s="54">
        <v>2.849959286295908</v>
      </c>
      <c r="S43" s="37"/>
      <c r="T43" s="50">
        <f>2046/K43*100</f>
        <v>2.9228153883515953</v>
      </c>
      <c r="U43" s="51">
        <f>1819/K43*100</f>
        <v>2.5985343066527622</v>
      </c>
      <c r="V43" s="50">
        <f t="shared" si="2"/>
        <v>2.4031085270210424</v>
      </c>
    </row>
    <row r="44" spans="1:22" ht="46.8">
      <c r="A44" s="68"/>
      <c r="B44" s="68"/>
      <c r="C44" s="68"/>
      <c r="D44" s="34" t="s">
        <v>152</v>
      </c>
      <c r="E44" s="35" t="s">
        <v>189</v>
      </c>
      <c r="F44" s="34" t="s">
        <v>203</v>
      </c>
      <c r="G44" s="44" t="s">
        <v>182</v>
      </c>
      <c r="H44" s="44">
        <v>2.2599999999999998</v>
      </c>
      <c r="I44" s="34">
        <v>591122</v>
      </c>
      <c r="J44" s="34">
        <v>687721</v>
      </c>
      <c r="K44" s="34">
        <f>J44-I44+1</f>
        <v>96600</v>
      </c>
      <c r="L44" s="36">
        <f>38068/K44*100</f>
        <v>39.407867494824018</v>
      </c>
      <c r="M44" s="36">
        <f>35720/K44*100</f>
        <v>36.977225672877843</v>
      </c>
      <c r="N44" s="36">
        <f t="shared" si="1"/>
        <v>2.4306418219461747</v>
      </c>
      <c r="O44" s="37"/>
      <c r="P44" s="54">
        <v>15.469979296066253</v>
      </c>
      <c r="Q44" s="54">
        <v>12.817805383022773</v>
      </c>
      <c r="R44" s="54">
        <v>2.6521739130434803</v>
      </c>
      <c r="S44" s="37"/>
      <c r="T44" s="50">
        <f>2581/K44*100</f>
        <v>2.6718426501035197</v>
      </c>
      <c r="U44" s="51">
        <f>2183/K44*100</f>
        <v>2.2598343685300204</v>
      </c>
      <c r="V44" s="50">
        <f t="shared" si="2"/>
        <v>2.2198757763975157</v>
      </c>
    </row>
    <row r="45" spans="1:22" ht="31.2">
      <c r="A45" s="68"/>
      <c r="B45" s="68"/>
      <c r="C45" s="68"/>
      <c r="D45" s="34" t="s">
        <v>153</v>
      </c>
      <c r="E45" s="35" t="s">
        <v>50</v>
      </c>
      <c r="F45" s="34" t="s">
        <v>203</v>
      </c>
      <c r="G45" s="44" t="s">
        <v>51</v>
      </c>
      <c r="H45" s="44">
        <v>1.27</v>
      </c>
      <c r="I45" s="34">
        <v>358183</v>
      </c>
      <c r="J45" s="34">
        <v>437569</v>
      </c>
      <c r="K45" s="34">
        <v>79387</v>
      </c>
      <c r="L45" s="36">
        <f>34799/K45*100</f>
        <v>43.834632874400093</v>
      </c>
      <c r="M45" s="36">
        <f>32809/K45*100</f>
        <v>41.32792522705229</v>
      </c>
      <c r="N45" s="36">
        <f t="shared" si="1"/>
        <v>2.5067076473478025</v>
      </c>
      <c r="O45" s="37"/>
      <c r="P45" s="54">
        <v>19.794172849458981</v>
      </c>
      <c r="Q45" s="54">
        <v>15.900588257523271</v>
      </c>
      <c r="R45" s="54">
        <v>3.8935845919357099</v>
      </c>
      <c r="S45" s="37"/>
      <c r="T45" s="50">
        <f>3484/K45*100</f>
        <v>4.388627860984796</v>
      </c>
      <c r="U45" s="51">
        <f>2615/K45*100</f>
        <v>3.2939901999067858</v>
      </c>
      <c r="V45" s="50">
        <f t="shared" si="2"/>
        <v>3.7298298210034391</v>
      </c>
    </row>
    <row r="46" spans="1:22" ht="31.2">
      <c r="A46" s="68"/>
      <c r="B46" s="68"/>
      <c r="C46" s="68"/>
      <c r="D46" s="34" t="s">
        <v>154</v>
      </c>
      <c r="E46" s="35" t="s">
        <v>190</v>
      </c>
      <c r="F46" s="34" t="s">
        <v>203</v>
      </c>
      <c r="G46" s="44" t="s">
        <v>185</v>
      </c>
      <c r="H46" s="44">
        <v>3.69</v>
      </c>
      <c r="I46" s="34">
        <v>501198</v>
      </c>
      <c r="J46" s="34">
        <v>582389</v>
      </c>
      <c r="K46" s="34">
        <f>J46-I46+1</f>
        <v>81192</v>
      </c>
      <c r="L46" s="36">
        <f>32887/K46*100</f>
        <v>40.505222189378266</v>
      </c>
      <c r="M46" s="36">
        <f>31706/K46*100</f>
        <v>39.050645383781649</v>
      </c>
      <c r="N46" s="36">
        <f t="shared" si="1"/>
        <v>1.4545768055966164</v>
      </c>
      <c r="O46" s="37"/>
      <c r="P46" s="54">
        <v>16.233126416395706</v>
      </c>
      <c r="Q46" s="54">
        <v>14.255099024534438</v>
      </c>
      <c r="R46" s="54">
        <v>1.9780273918612679</v>
      </c>
      <c r="S46" s="37"/>
      <c r="T46" s="50">
        <f>2568/K46*100</f>
        <v>3.1628731894767954</v>
      </c>
      <c r="U46" s="51">
        <f>2381/K46*100</f>
        <v>2.9325549315203467</v>
      </c>
      <c r="V46" s="50">
        <f t="shared" si="2"/>
        <v>2.5763622031727258</v>
      </c>
    </row>
    <row r="47" spans="1:22" ht="31.2">
      <c r="A47" s="68"/>
      <c r="B47" s="68"/>
      <c r="C47" s="68"/>
      <c r="D47" s="34" t="s">
        <v>155</v>
      </c>
      <c r="E47" s="35" t="s">
        <v>54</v>
      </c>
      <c r="F47" s="34" t="s">
        <v>203</v>
      </c>
      <c r="G47" s="44" t="s">
        <v>55</v>
      </c>
      <c r="H47" s="44">
        <v>0.82</v>
      </c>
      <c r="I47" s="34">
        <v>132473</v>
      </c>
      <c r="J47" s="34">
        <v>200998</v>
      </c>
      <c r="K47" s="34">
        <v>68526</v>
      </c>
      <c r="L47" s="36">
        <f>30226/K47*100</f>
        <v>44.108805416922046</v>
      </c>
      <c r="M47" s="36">
        <f>28244/K47*100</f>
        <v>41.21647257975075</v>
      </c>
      <c r="N47" s="36">
        <f t="shared" si="1"/>
        <v>2.8923328371712955</v>
      </c>
      <c r="O47" s="37"/>
      <c r="P47" s="54">
        <v>21.057700726731461</v>
      </c>
      <c r="Q47" s="54">
        <v>16.26535913375945</v>
      </c>
      <c r="R47" s="54">
        <v>4.7923415929720115</v>
      </c>
      <c r="S47" s="37"/>
      <c r="T47" s="50">
        <f>3321/K47*100</f>
        <v>4.8463356973995273</v>
      </c>
      <c r="U47" s="51">
        <f>2502/K47*100</f>
        <v>3.65116889939585</v>
      </c>
      <c r="V47" s="50">
        <f t="shared" si="2"/>
        <v>4.1161019175203579</v>
      </c>
    </row>
    <row r="48" spans="1:22" ht="33" customHeight="1">
      <c r="A48" s="68"/>
      <c r="B48" s="68"/>
      <c r="C48" s="68"/>
      <c r="D48" s="34" t="s">
        <v>156</v>
      </c>
      <c r="E48" s="35" t="s">
        <v>191</v>
      </c>
      <c r="F48" s="34" t="s">
        <v>203</v>
      </c>
      <c r="G48" s="44" t="s">
        <v>184</v>
      </c>
      <c r="H48" s="44">
        <v>1.69</v>
      </c>
      <c r="I48" s="34">
        <v>413849</v>
      </c>
      <c r="J48" s="34">
        <v>499295</v>
      </c>
      <c r="K48" s="34">
        <f>J48-I48+1</f>
        <v>85447</v>
      </c>
      <c r="L48" s="36">
        <f>37868/K48*100</f>
        <v>44.317530164897541</v>
      </c>
      <c r="M48" s="36">
        <f>33088/K48*100</f>
        <v>38.723419195524713</v>
      </c>
      <c r="N48" s="36">
        <f t="shared" si="1"/>
        <v>5.5941109693728279</v>
      </c>
      <c r="O48" s="37"/>
      <c r="P48" s="54">
        <v>17.325359579622457</v>
      </c>
      <c r="Q48" s="54">
        <v>14.185401476938923</v>
      </c>
      <c r="R48" s="54">
        <v>3.1399581026835346</v>
      </c>
      <c r="S48" s="37"/>
      <c r="T48" s="50">
        <f>3345/K48*100</f>
        <v>3.9147073624586</v>
      </c>
      <c r="U48" s="51">
        <f>2548/K48*100</f>
        <v>2.9819654288623361</v>
      </c>
      <c r="V48" s="50">
        <f t="shared" si="2"/>
        <v>3.3183142766861331</v>
      </c>
    </row>
    <row r="49" spans="1:22" ht="31.2">
      <c r="A49" s="68"/>
      <c r="B49" s="68"/>
      <c r="C49" s="68"/>
      <c r="D49" s="34" t="s">
        <v>157</v>
      </c>
      <c r="E49" s="35" t="s">
        <v>138</v>
      </c>
      <c r="F49" s="34" t="s">
        <v>203</v>
      </c>
      <c r="G49" s="44" t="s">
        <v>58</v>
      </c>
      <c r="H49" s="44">
        <v>1.74</v>
      </c>
      <c r="I49" s="34">
        <v>1592254</v>
      </c>
      <c r="J49" s="34">
        <v>1678093</v>
      </c>
      <c r="K49" s="34">
        <v>85840</v>
      </c>
      <c r="L49" s="36">
        <f>37355/K49*100</f>
        <v>43.517008387698041</v>
      </c>
      <c r="M49" s="36">
        <f>30581/K49*100</f>
        <v>35.625582479030754</v>
      </c>
      <c r="N49" s="36">
        <f t="shared" si="1"/>
        <v>7.8914259086672871</v>
      </c>
      <c r="O49" s="37"/>
      <c r="P49" s="54">
        <v>15.519571295433366</v>
      </c>
      <c r="Q49" s="54">
        <v>11.987418452935694</v>
      </c>
      <c r="R49" s="54">
        <v>3.5321528424976716</v>
      </c>
      <c r="S49" s="37"/>
      <c r="T49" s="50">
        <f>3130/K49*100</f>
        <v>3.646318732525629</v>
      </c>
      <c r="U49" s="51">
        <f>1724/K49*100</f>
        <v>2.0083876980428705</v>
      </c>
      <c r="V49" s="50">
        <f t="shared" si="2"/>
        <v>3.2446411929170553</v>
      </c>
    </row>
    <row r="50" spans="1:22" ht="31.2">
      <c r="A50" s="66" t="s">
        <v>143</v>
      </c>
      <c r="B50" s="66"/>
      <c r="C50" s="66"/>
      <c r="D50" s="34" t="s">
        <v>158</v>
      </c>
      <c r="E50" s="35" t="s">
        <v>60</v>
      </c>
      <c r="F50" s="34" t="s">
        <v>203</v>
      </c>
      <c r="G50" s="44" t="s">
        <v>61</v>
      </c>
      <c r="H50" s="44">
        <v>1.57</v>
      </c>
      <c r="I50" s="34">
        <v>1145401</v>
      </c>
      <c r="J50" s="34">
        <v>1202397</v>
      </c>
      <c r="K50" s="34">
        <v>56997</v>
      </c>
      <c r="L50" s="36">
        <f>27828/K50*100</f>
        <v>48.823622295910312</v>
      </c>
      <c r="M50" s="36">
        <f>23594/K50*100</f>
        <v>41.395161148832393</v>
      </c>
      <c r="N50" s="36">
        <f t="shared" si="1"/>
        <v>7.4284611470779183</v>
      </c>
      <c r="O50" s="37"/>
      <c r="P50" s="54">
        <v>22.215204308998722</v>
      </c>
      <c r="Q50" s="54">
        <v>16.127164587609872</v>
      </c>
      <c r="R50" s="54">
        <v>6.0880397213888493</v>
      </c>
      <c r="S50" s="37"/>
      <c r="T50" s="50">
        <f>3533/K50*100</f>
        <v>6.1985718546590167</v>
      </c>
      <c r="U50" s="51">
        <f>2067/K50*100</f>
        <v>3.6265066582451713</v>
      </c>
      <c r="V50" s="50">
        <f t="shared" si="2"/>
        <v>5.4732705230099823</v>
      </c>
    </row>
    <row r="51" spans="1:22" ht="32.25" customHeight="1">
      <c r="A51" s="66"/>
      <c r="B51" s="66"/>
      <c r="C51" s="66"/>
      <c r="D51" s="34" t="s">
        <v>159</v>
      </c>
      <c r="E51" s="35" t="s">
        <v>63</v>
      </c>
      <c r="F51" s="34" t="s">
        <v>203</v>
      </c>
      <c r="G51" s="44" t="s">
        <v>64</v>
      </c>
      <c r="H51" s="44">
        <v>2.69</v>
      </c>
      <c r="I51" s="34">
        <v>1719268</v>
      </c>
      <c r="J51" s="34">
        <v>1790799</v>
      </c>
      <c r="K51" s="34">
        <v>71532</v>
      </c>
      <c r="L51" s="36">
        <f>31514/K51*100</f>
        <v>44.055807191187164</v>
      </c>
      <c r="M51" s="36">
        <f>28865/K51*100</f>
        <v>40.352569479393836</v>
      </c>
      <c r="N51" s="36">
        <f t="shared" si="1"/>
        <v>3.7032377117933279</v>
      </c>
      <c r="O51" s="37"/>
      <c r="P51" s="54">
        <v>17.025946429569984</v>
      </c>
      <c r="Q51" s="54">
        <v>15.497958955432534</v>
      </c>
      <c r="R51" s="54">
        <v>1.5279874741374506</v>
      </c>
      <c r="S51" s="37"/>
      <c r="T51" s="50">
        <f>2247/K51*100</f>
        <v>3.1412514678745174</v>
      </c>
      <c r="U51" s="51">
        <f>2132/K51*100</f>
        <v>2.9804842587932674</v>
      </c>
      <c r="V51" s="50">
        <f t="shared" si="2"/>
        <v>2.5451546161158638</v>
      </c>
    </row>
    <row r="52" spans="1:22" ht="62.4">
      <c r="A52" s="59" t="s">
        <v>144</v>
      </c>
      <c r="B52" s="59"/>
      <c r="C52" s="59"/>
      <c r="D52" s="34" t="s">
        <v>160</v>
      </c>
      <c r="E52" s="35" t="s">
        <v>179</v>
      </c>
      <c r="F52" s="34" t="s">
        <v>203</v>
      </c>
      <c r="G52" s="44" t="s">
        <v>66</v>
      </c>
      <c r="H52" s="44">
        <v>0.33</v>
      </c>
      <c r="I52" s="34">
        <v>177271</v>
      </c>
      <c r="J52" s="34">
        <v>255127</v>
      </c>
      <c r="K52" s="34">
        <v>77857</v>
      </c>
      <c r="L52" s="36">
        <f>33904/K52*100</f>
        <v>43.546501920187012</v>
      </c>
      <c r="M52" s="36">
        <f>29263/K52*100</f>
        <v>37.585573551511104</v>
      </c>
      <c r="N52" s="36">
        <f t="shared" si="1"/>
        <v>5.9609283686759085</v>
      </c>
      <c r="O52" s="37"/>
      <c r="P52" s="54">
        <v>16.905352119912145</v>
      </c>
      <c r="Q52" s="54">
        <v>13.201125139679155</v>
      </c>
      <c r="R52" s="54">
        <v>3.7042269802329901</v>
      </c>
      <c r="S52" s="37"/>
      <c r="T52" s="50">
        <f>2904/K52*100</f>
        <v>3.7299151007616529</v>
      </c>
      <c r="U52" s="51">
        <f>1923/K52*100</f>
        <v>2.4699127888308055</v>
      </c>
      <c r="V52" s="50">
        <f t="shared" si="2"/>
        <v>3.2359325429954922</v>
      </c>
    </row>
    <row r="53" spans="1:22" ht="31.2">
      <c r="A53" s="59"/>
      <c r="B53" s="59"/>
      <c r="C53" s="59"/>
      <c r="D53" s="34" t="s">
        <v>161</v>
      </c>
      <c r="E53" s="35" t="s">
        <v>68</v>
      </c>
      <c r="F53" s="34" t="s">
        <v>203</v>
      </c>
      <c r="G53" s="44" t="s">
        <v>69</v>
      </c>
      <c r="H53" s="44">
        <v>0.22</v>
      </c>
      <c r="I53" s="34">
        <v>95321</v>
      </c>
      <c r="J53" s="34">
        <v>176757</v>
      </c>
      <c r="K53" s="34">
        <v>81437</v>
      </c>
      <c r="L53" s="36">
        <f>34803/K53*100</f>
        <v>42.73610275427631</v>
      </c>
      <c r="M53" s="36">
        <f>29478/K53*100</f>
        <v>36.197305892898804</v>
      </c>
      <c r="N53" s="36">
        <f t="shared" si="1"/>
        <v>6.5387968613775058</v>
      </c>
      <c r="O53" s="37"/>
      <c r="P53" s="54">
        <v>15.201935238282353</v>
      </c>
      <c r="Q53" s="54">
        <v>12.510284023232682</v>
      </c>
      <c r="R53" s="54">
        <v>2.6916512150496708</v>
      </c>
      <c r="S53" s="37"/>
      <c r="T53" s="50">
        <f>3240/K53*100</f>
        <v>3.9785355550916659</v>
      </c>
      <c r="U53" s="51">
        <f>1779/K53*100</f>
        <v>2.1845107260827388</v>
      </c>
      <c r="V53" s="50">
        <f t="shared" si="2"/>
        <v>3.5416334098751188</v>
      </c>
    </row>
    <row r="54" spans="1:22" ht="31.2">
      <c r="A54" s="59"/>
      <c r="B54" s="59"/>
      <c r="C54" s="59"/>
      <c r="D54" s="34" t="s">
        <v>169</v>
      </c>
      <c r="E54" s="35" t="s">
        <v>172</v>
      </c>
      <c r="F54" s="34" t="s">
        <v>203</v>
      </c>
      <c r="G54" s="44" t="s">
        <v>171</v>
      </c>
      <c r="H54" s="44">
        <v>0.23</v>
      </c>
      <c r="I54" s="34">
        <v>13453</v>
      </c>
      <c r="J54" s="34">
        <v>90488</v>
      </c>
      <c r="K54" s="34">
        <f>J54-I54+1</f>
        <v>77036</v>
      </c>
      <c r="L54" s="36">
        <f>31592/K54*100</f>
        <v>41.00939820343735</v>
      </c>
      <c r="M54" s="36">
        <f>28559/K54*100</f>
        <v>37.072277896048597</v>
      </c>
      <c r="N54" s="36">
        <f t="shared" si="1"/>
        <v>3.9371203073887528</v>
      </c>
      <c r="O54" s="37"/>
      <c r="P54" s="54">
        <v>18.374526195544941</v>
      </c>
      <c r="Q54" s="54">
        <v>12.392907212212471</v>
      </c>
      <c r="R54" s="54">
        <v>5.9816189833324707</v>
      </c>
      <c r="S54" s="37"/>
      <c r="T54" s="50">
        <f>2771/K54*100</f>
        <v>3.5970195752635132</v>
      </c>
      <c r="U54" s="51">
        <f>1894/K54*100</f>
        <v>2.4585907887221556</v>
      </c>
      <c r="V54" s="50">
        <f t="shared" si="2"/>
        <v>3.1053014175190823</v>
      </c>
    </row>
    <row r="55" spans="1:22" ht="31.2">
      <c r="A55" s="59"/>
      <c r="B55" s="59"/>
      <c r="C55" s="59"/>
      <c r="D55" s="34" t="s">
        <v>170</v>
      </c>
      <c r="E55" s="35" t="s">
        <v>173</v>
      </c>
      <c r="F55" s="34" t="s">
        <v>203</v>
      </c>
      <c r="G55" s="44" t="s">
        <v>174</v>
      </c>
      <c r="H55" s="44">
        <v>0.24</v>
      </c>
      <c r="I55" s="34">
        <v>157314</v>
      </c>
      <c r="J55" s="34">
        <v>235646</v>
      </c>
      <c r="K55" s="34">
        <f>J55-I55+1</f>
        <v>78333</v>
      </c>
      <c r="L55" s="36">
        <f>32499/K55*100</f>
        <v>41.488261652177243</v>
      </c>
      <c r="M55" s="36">
        <f>28659/K55*100</f>
        <v>36.586113132396306</v>
      </c>
      <c r="N55" s="36">
        <f t="shared" si="1"/>
        <v>4.9021485197809369</v>
      </c>
      <c r="O55" s="37"/>
      <c r="P55" s="54">
        <v>18.361354729169062</v>
      </c>
      <c r="Q55" s="54">
        <v>12.808139609104717</v>
      </c>
      <c r="R55" s="54">
        <v>5.553215120064344</v>
      </c>
      <c r="S55" s="37"/>
      <c r="T55" s="50">
        <f>3394/K55*100</f>
        <v>4.332784394827212</v>
      </c>
      <c r="U55" s="51">
        <f>1786/K55*100</f>
        <v>2.2800097021689454</v>
      </c>
      <c r="V55" s="50">
        <f t="shared" si="2"/>
        <v>3.8767824543934224</v>
      </c>
    </row>
    <row r="56" spans="1:22" s="10" customFormat="1" ht="15.6">
      <c r="A56" s="60"/>
      <c r="B56" s="60"/>
      <c r="C56" s="60"/>
      <c r="D56" s="34" t="s">
        <v>207</v>
      </c>
      <c r="E56" s="35" t="s">
        <v>220</v>
      </c>
      <c r="F56" s="34" t="s">
        <v>216</v>
      </c>
      <c r="G56" s="44" t="s">
        <v>212</v>
      </c>
      <c r="H56" s="34">
        <v>3099.37</v>
      </c>
      <c r="I56" s="34">
        <v>123026460</v>
      </c>
      <c r="J56" s="34">
        <v>123094587</v>
      </c>
      <c r="K56" s="34">
        <v>68128</v>
      </c>
      <c r="L56" s="36">
        <f>30696/K56*100</f>
        <v>45.056364490371067</v>
      </c>
      <c r="M56" s="36">
        <f>15710/K56*100</f>
        <v>23.05953499295444</v>
      </c>
      <c r="N56" s="36">
        <f t="shared" si="1"/>
        <v>21.996829497416627</v>
      </c>
      <c r="O56" s="37"/>
      <c r="P56" s="54">
        <v>14.320103334899015</v>
      </c>
      <c r="Q56" s="54">
        <v>13.383630812588068</v>
      </c>
      <c r="R56" s="54">
        <v>0.93647252231094669</v>
      </c>
      <c r="S56" s="37"/>
      <c r="T56" s="52">
        <f>2693/K56*100</f>
        <v>3.9528534523250349</v>
      </c>
      <c r="U56" s="51">
        <f>1713/K56*100</f>
        <v>2.5143846876467828</v>
      </c>
      <c r="V56" s="50">
        <f t="shared" si="2"/>
        <v>3.4499765147956785</v>
      </c>
    </row>
    <row r="57" spans="1:22" s="10" customFormat="1" ht="31.2">
      <c r="A57" s="60"/>
      <c r="B57" s="60"/>
      <c r="C57" s="60"/>
      <c r="D57" s="34" t="s">
        <v>208</v>
      </c>
      <c r="E57" s="35" t="s">
        <v>221</v>
      </c>
      <c r="F57" s="34" t="s">
        <v>217</v>
      </c>
      <c r="G57" s="44" t="s">
        <v>213</v>
      </c>
      <c r="H57" s="34">
        <v>139.72999999999999</v>
      </c>
      <c r="I57" s="34">
        <v>1</v>
      </c>
      <c r="J57" s="34">
        <v>4000</v>
      </c>
      <c r="K57" s="34">
        <v>4000</v>
      </c>
      <c r="L57" s="36">
        <f>1934/K57*100</f>
        <v>48.35</v>
      </c>
      <c r="M57" s="36">
        <f>880/K57*100</f>
        <v>22</v>
      </c>
      <c r="N57" s="36">
        <f t="shared" si="1"/>
        <v>26.35</v>
      </c>
      <c r="O57" s="37"/>
      <c r="P57" s="54">
        <v>18.774999999999999</v>
      </c>
      <c r="Q57" s="54">
        <v>12.525</v>
      </c>
      <c r="R57" s="54">
        <v>6.2499999999999982</v>
      </c>
      <c r="S57" s="37"/>
      <c r="T57" s="52">
        <f>370/K57*100</f>
        <v>9.25</v>
      </c>
      <c r="U57" s="51">
        <f>131/4000*100</f>
        <v>3.2750000000000004</v>
      </c>
      <c r="V57" s="50">
        <f t="shared" si="2"/>
        <v>8.5950000000000006</v>
      </c>
    </row>
    <row r="58" spans="1:22" s="10" customFormat="1" ht="31.2">
      <c r="A58" s="60"/>
      <c r="B58" s="60"/>
      <c r="C58" s="60"/>
      <c r="D58" s="34" t="s">
        <v>209</v>
      </c>
      <c r="E58" s="35" t="s">
        <v>222</v>
      </c>
      <c r="F58" s="34" t="s">
        <v>218</v>
      </c>
      <c r="G58" s="44" t="s">
        <v>214</v>
      </c>
      <c r="H58" s="34">
        <v>119.67</v>
      </c>
      <c r="I58" s="34">
        <v>1</v>
      </c>
      <c r="J58" s="34">
        <v>3000</v>
      </c>
      <c r="K58" s="34">
        <v>3000</v>
      </c>
      <c r="L58" s="36">
        <f>1402/K58*100</f>
        <v>46.733333333333334</v>
      </c>
      <c r="M58" s="36">
        <f>695/K58*100</f>
        <v>23.166666666666664</v>
      </c>
      <c r="N58" s="36">
        <f t="shared" si="1"/>
        <v>23.56666666666667</v>
      </c>
      <c r="O58" s="37"/>
      <c r="P58" s="54">
        <v>16.866666666666667</v>
      </c>
      <c r="Q58" s="54">
        <v>11.799999999999999</v>
      </c>
      <c r="R58" s="54">
        <v>5.0666666666666682</v>
      </c>
      <c r="S58" s="37"/>
      <c r="T58" s="52">
        <f>100/K58*100</f>
        <v>3.3333333333333335</v>
      </c>
      <c r="U58" s="51">
        <f>47/3000*100</f>
        <v>1.5666666666666667</v>
      </c>
      <c r="V58" s="50">
        <f t="shared" si="2"/>
        <v>3.0200000000000005</v>
      </c>
    </row>
    <row r="59" spans="1:22" s="10" customFormat="1" ht="78">
      <c r="A59" s="60"/>
      <c r="B59" s="60"/>
      <c r="C59" s="60"/>
      <c r="D59" s="34" t="s">
        <v>210</v>
      </c>
      <c r="E59" s="35" t="s">
        <v>223</v>
      </c>
      <c r="F59" s="42" t="s">
        <v>219</v>
      </c>
      <c r="G59" s="44" t="s">
        <v>215</v>
      </c>
      <c r="H59" s="34">
        <v>382.78</v>
      </c>
      <c r="I59" s="34">
        <v>1</v>
      </c>
      <c r="J59" s="34">
        <v>13978</v>
      </c>
      <c r="K59" s="34">
        <v>13978</v>
      </c>
      <c r="L59" s="36">
        <f>6117/K59*100</f>
        <v>43.761625411360711</v>
      </c>
      <c r="M59" s="36">
        <f>5102/K59*100</f>
        <v>36.500214622978966</v>
      </c>
      <c r="N59" s="36">
        <f t="shared" si="1"/>
        <v>7.2614107883817454</v>
      </c>
      <c r="O59" s="37"/>
      <c r="P59" s="54">
        <v>18.185720417799402</v>
      </c>
      <c r="Q59" s="54">
        <v>13.17785090857061</v>
      </c>
      <c r="R59" s="54">
        <v>5.0078695092287919</v>
      </c>
      <c r="S59" s="37"/>
      <c r="T59" s="52">
        <f>472/K59*100</f>
        <v>3.376734869079983</v>
      </c>
      <c r="U59" s="51">
        <f>302/K59*100</f>
        <v>2.1605379882672771</v>
      </c>
      <c r="V59" s="50">
        <f t="shared" si="2"/>
        <v>2.9446272714265271</v>
      </c>
    </row>
    <row r="60" spans="1:22" s="10" customFormat="1" ht="31.2">
      <c r="A60" s="60"/>
      <c r="B60" s="60"/>
      <c r="C60" s="60"/>
      <c r="D60" s="34" t="s">
        <v>211</v>
      </c>
      <c r="E60" s="35" t="s">
        <v>224</v>
      </c>
      <c r="F60" s="34" t="s">
        <v>226</v>
      </c>
      <c r="G60" s="44" t="s">
        <v>225</v>
      </c>
      <c r="H60" s="34">
        <v>12.16</v>
      </c>
      <c r="I60" s="34">
        <v>1</v>
      </c>
      <c r="J60" s="34">
        <v>6000</v>
      </c>
      <c r="K60" s="34">
        <v>6000</v>
      </c>
      <c r="L60" s="57">
        <f>2654/K60*100</f>
        <v>44.233333333333334</v>
      </c>
      <c r="M60" s="57">
        <f>2395/K60*100</f>
        <v>39.916666666666664</v>
      </c>
      <c r="N60" s="57">
        <f>L60-M60</f>
        <v>4.31666666666667</v>
      </c>
      <c r="O60" s="37"/>
      <c r="P60" s="55">
        <v>17.933333333333334</v>
      </c>
      <c r="Q60" s="55">
        <v>12.633333333333333</v>
      </c>
      <c r="R60" s="55">
        <v>5.3000000000000007</v>
      </c>
      <c r="S60" s="37"/>
      <c r="T60" s="52">
        <f>300/J60*100</f>
        <v>5</v>
      </c>
      <c r="U60" s="51">
        <f>178/K60*100</f>
        <v>2.9666666666666668</v>
      </c>
      <c r="V60" s="50">
        <f t="shared" si="2"/>
        <v>4.4066666666666663</v>
      </c>
    </row>
    <row r="61" spans="1:22" ht="46.5" customHeight="1" thickBot="1">
      <c r="A61" s="63" t="s">
        <v>194</v>
      </c>
      <c r="B61" s="63"/>
      <c r="C61" s="63"/>
      <c r="D61" s="63"/>
      <c r="E61" s="63"/>
      <c r="F61" s="45"/>
      <c r="G61" s="45"/>
      <c r="H61" s="45"/>
      <c r="I61" s="45"/>
      <c r="J61" s="45"/>
      <c r="K61" s="45"/>
      <c r="L61" s="46">
        <f>AVERAGE(L6:L60)</f>
        <v>44.366639999965123</v>
      </c>
      <c r="M61" s="46">
        <f t="shared" ref="M61:N61" si="3">AVERAGE(M6:M60)</f>
        <v>37.150144377067939</v>
      </c>
      <c r="N61" s="46">
        <f t="shared" si="3"/>
        <v>7.2164956228971997</v>
      </c>
      <c r="O61" s="45"/>
      <c r="P61" s="56">
        <v>18.78712382829892</v>
      </c>
      <c r="Q61" s="56">
        <v>13.707172562977956</v>
      </c>
      <c r="R61" s="56">
        <v>5.079951265320954</v>
      </c>
      <c r="S61" s="45"/>
      <c r="T61" s="53">
        <f>AVERAGE(T6:T60)</f>
        <v>4.9785466429090075</v>
      </c>
      <c r="U61" s="53">
        <f>AVERAGE(U6:U60)</f>
        <v>2.6787361636556914</v>
      </c>
      <c r="V61" s="53">
        <f>AVERAGE(V6:V60)</f>
        <v>4.4427994101778712</v>
      </c>
    </row>
    <row r="62" spans="1:22" ht="17.399999999999999" thickTop="1">
      <c r="A62" s="18" t="s">
        <v>196</v>
      </c>
      <c r="B62" s="2"/>
      <c r="C62" s="2"/>
      <c r="D62" s="34"/>
      <c r="E62" s="27"/>
      <c r="F62" s="2"/>
      <c r="G62" s="2"/>
      <c r="H62" s="2"/>
      <c r="I62" s="2"/>
      <c r="J62" s="2"/>
      <c r="K62" s="2"/>
      <c r="L62" s="30"/>
      <c r="M62" s="30"/>
      <c r="N62" s="2"/>
      <c r="O62" s="2"/>
      <c r="P62" s="2"/>
      <c r="Q62" s="2"/>
      <c r="R62" s="2"/>
      <c r="S62" s="2"/>
      <c r="T62" s="2"/>
      <c r="U62" s="2"/>
      <c r="V62" s="31"/>
    </row>
    <row r="63" spans="1:22" ht="16.8">
      <c r="A63" s="18" t="s">
        <v>197</v>
      </c>
      <c r="B63" s="2"/>
      <c r="C63" s="2"/>
      <c r="D63" s="2"/>
      <c r="E63" s="27"/>
      <c r="F63" s="2"/>
      <c r="G63" s="2"/>
      <c r="H63" s="2"/>
      <c r="I63" s="2"/>
      <c r="J63" s="2"/>
      <c r="K63" s="2"/>
      <c r="L63" s="47"/>
      <c r="M63" s="47"/>
      <c r="N63" s="2"/>
      <c r="O63" s="2"/>
      <c r="P63" s="2"/>
      <c r="Q63" s="2"/>
      <c r="R63" s="2"/>
      <c r="S63" s="2"/>
      <c r="T63" s="2"/>
      <c r="U63" s="2"/>
      <c r="V63" s="2"/>
    </row>
    <row r="64" spans="1:22" s="10" customFormat="1" ht="16.8">
      <c r="A64" s="18" t="s">
        <v>237</v>
      </c>
      <c r="B64" s="2"/>
      <c r="C64" s="2"/>
      <c r="D64" s="2"/>
      <c r="E64" s="27"/>
      <c r="F64" s="2"/>
      <c r="G64" s="2"/>
      <c r="H64" s="2"/>
      <c r="I64" s="2"/>
      <c r="J64" s="2"/>
      <c r="K64" s="2"/>
      <c r="L64" s="47"/>
      <c r="M64" s="47"/>
      <c r="N64" s="2"/>
      <c r="O64" s="2"/>
      <c r="P64" s="2"/>
      <c r="Q64" s="2"/>
      <c r="R64" s="2"/>
      <c r="S64" s="2"/>
      <c r="T64" s="2"/>
      <c r="U64" s="2"/>
      <c r="V64" s="2"/>
    </row>
    <row r="65" spans="1:22" ht="16.8">
      <c r="A65" s="18" t="s">
        <v>233</v>
      </c>
      <c r="B65" s="48"/>
      <c r="C65" s="48"/>
      <c r="D65" s="2"/>
      <c r="E65" s="27"/>
      <c r="F65" s="2"/>
      <c r="G65" s="2"/>
      <c r="H65" s="49"/>
      <c r="I65" s="2"/>
      <c r="J65" s="2"/>
      <c r="K65" s="2"/>
      <c r="L65" s="7"/>
      <c r="M65" s="7"/>
      <c r="N65" s="2"/>
      <c r="O65" s="2"/>
      <c r="P65" s="2"/>
      <c r="Q65" s="2"/>
      <c r="R65" s="2"/>
      <c r="S65" s="2"/>
      <c r="T65" s="2"/>
      <c r="U65" s="2"/>
      <c r="V65" s="2"/>
    </row>
    <row r="66" spans="1:22" ht="16.8">
      <c r="A66" s="18" t="s">
        <v>234</v>
      </c>
      <c r="B66" s="48"/>
      <c r="C66" s="48"/>
      <c r="D66" s="2"/>
      <c r="E66" s="27"/>
      <c r="F66" s="2"/>
      <c r="G66" s="2"/>
      <c r="H66" s="49"/>
      <c r="I66" s="2"/>
      <c r="J66" s="2"/>
      <c r="K66" s="2"/>
      <c r="L66" s="7"/>
      <c r="M66" s="7"/>
      <c r="N66" s="2"/>
      <c r="O66" s="2"/>
      <c r="P66" s="2"/>
      <c r="Q66" s="2"/>
      <c r="R66" s="2"/>
      <c r="S66" s="2"/>
      <c r="T66" s="2"/>
      <c r="U66" s="2"/>
      <c r="V66" s="2"/>
    </row>
    <row r="67" spans="1:22" s="10" customFormat="1" ht="16.8">
      <c r="A67" s="18" t="s">
        <v>231</v>
      </c>
      <c r="B67" s="19"/>
      <c r="C67" s="19"/>
      <c r="D67" s="15"/>
      <c r="E67" s="16"/>
      <c r="F67" s="15"/>
      <c r="G67" s="15"/>
      <c r="H67" s="20"/>
      <c r="I67" s="15"/>
      <c r="J67" s="15"/>
      <c r="K67" s="15"/>
      <c r="L67" s="17"/>
      <c r="M67" s="17"/>
    </row>
    <row r="68" spans="1:22" s="10" customFormat="1" ht="16.8">
      <c r="A68" s="18" t="s">
        <v>232</v>
      </c>
      <c r="B68" s="19"/>
      <c r="C68" s="19"/>
      <c r="D68" s="15"/>
      <c r="E68" s="16"/>
      <c r="F68" s="15"/>
      <c r="G68" s="15"/>
      <c r="H68" s="20"/>
      <c r="I68" s="15"/>
      <c r="J68" s="15"/>
      <c r="K68" s="14"/>
      <c r="L68" s="17"/>
      <c r="M68" s="17"/>
    </row>
    <row r="69" spans="1:22" ht="15.6">
      <c r="K69" s="8"/>
      <c r="L69" s="7"/>
      <c r="M69" s="7"/>
      <c r="N69" s="21"/>
      <c r="O69" s="21"/>
      <c r="P69" s="21"/>
      <c r="Q69" s="21"/>
      <c r="R69" s="21"/>
      <c r="S69" s="21"/>
    </row>
    <row r="70" spans="1:22" s="10" customFormat="1" ht="15.6">
      <c r="B70" s="3"/>
      <c r="C70" s="3"/>
      <c r="E70" s="4"/>
      <c r="H70" s="12"/>
      <c r="K70" s="25"/>
      <c r="L70" s="26"/>
      <c r="M70" s="26"/>
      <c r="N70" s="21"/>
      <c r="O70" s="21"/>
      <c r="P70" s="21"/>
      <c r="Q70" s="21"/>
      <c r="R70" s="21"/>
      <c r="S70" s="21"/>
      <c r="T70" s="13"/>
      <c r="V70" s="24"/>
    </row>
    <row r="71" spans="1:22" ht="15.6">
      <c r="K71" s="8"/>
      <c r="L71" s="26"/>
      <c r="M71" s="26"/>
      <c r="N71" s="21"/>
      <c r="O71" s="21"/>
      <c r="P71" s="21"/>
      <c r="Q71" s="21"/>
      <c r="R71" s="21"/>
      <c r="S71" s="21"/>
    </row>
    <row r="72" spans="1:22" ht="15.6">
      <c r="K72" s="8"/>
      <c r="L72" s="26"/>
      <c r="M72" s="26"/>
      <c r="N72" s="21"/>
      <c r="O72" s="21"/>
      <c r="P72" s="21"/>
      <c r="Q72" s="21"/>
      <c r="R72" s="21"/>
      <c r="S72" s="21"/>
    </row>
    <row r="73" spans="1:22" ht="15.6">
      <c r="K73" s="8"/>
      <c r="L73" s="26"/>
      <c r="M73" s="26"/>
      <c r="N73" s="21"/>
      <c r="O73" s="21"/>
      <c r="P73" s="21"/>
      <c r="Q73" s="21"/>
      <c r="R73" s="21"/>
      <c r="S73" s="21"/>
    </row>
    <row r="74" spans="1:22" ht="15.6">
      <c r="K74" s="8"/>
      <c r="L74" s="26"/>
      <c r="M74" s="26"/>
      <c r="N74" s="21"/>
      <c r="O74" s="21"/>
      <c r="P74" s="21"/>
      <c r="Q74" s="21"/>
      <c r="R74" s="21"/>
      <c r="S74" s="21"/>
    </row>
    <row r="75" spans="1:22" ht="15.6">
      <c r="K75" s="25"/>
      <c r="L75" s="26"/>
      <c r="M75" s="26"/>
      <c r="N75" s="21"/>
      <c r="O75" s="21"/>
      <c r="P75" s="21"/>
      <c r="Q75" s="21"/>
      <c r="R75" s="21"/>
      <c r="S75" s="21"/>
    </row>
    <row r="76" spans="1:22" ht="15.6">
      <c r="K76" s="8"/>
      <c r="L76" s="26"/>
      <c r="M76" s="26"/>
      <c r="N76" s="21"/>
      <c r="O76" s="21"/>
      <c r="P76" s="21"/>
      <c r="Q76" s="21"/>
      <c r="R76" s="21"/>
      <c r="S76" s="21"/>
    </row>
    <row r="77" spans="1:22" ht="15.6">
      <c r="K77" s="8"/>
      <c r="L77" s="26"/>
      <c r="M77" s="26"/>
      <c r="N77" s="21"/>
      <c r="O77" s="21"/>
      <c r="P77" s="21"/>
      <c r="Q77" s="21"/>
      <c r="R77" s="21"/>
      <c r="S77" s="21"/>
    </row>
    <row r="78" spans="1:22" ht="15.6">
      <c r="K78" s="8"/>
      <c r="L78" s="26"/>
      <c r="M78" s="26"/>
      <c r="N78" s="21"/>
      <c r="O78" s="21"/>
      <c r="P78" s="21"/>
      <c r="Q78" s="21"/>
      <c r="R78" s="21"/>
      <c r="S78" s="21"/>
    </row>
    <row r="79" spans="1:22" ht="15.6">
      <c r="K79" s="8"/>
      <c r="L79" s="26"/>
      <c r="M79" s="26"/>
      <c r="N79" s="21"/>
      <c r="O79" s="21"/>
      <c r="P79" s="21"/>
      <c r="Q79" s="21"/>
      <c r="R79" s="21"/>
      <c r="S79" s="21"/>
    </row>
    <row r="80" spans="1:22" ht="15.6">
      <c r="K80" s="8"/>
      <c r="L80" s="7"/>
      <c r="M80" s="7"/>
      <c r="N80" s="21"/>
      <c r="O80" s="21"/>
      <c r="P80" s="21"/>
      <c r="Q80" s="21"/>
      <c r="R80" s="21"/>
      <c r="S80" s="21"/>
    </row>
    <row r="81" spans="11:19" ht="15.6">
      <c r="K81" s="8"/>
      <c r="L81" s="7"/>
      <c r="M81" s="7"/>
      <c r="N81" s="21"/>
      <c r="O81" s="21"/>
      <c r="P81" s="21"/>
      <c r="Q81" s="21"/>
      <c r="R81" s="21"/>
      <c r="S81" s="21"/>
    </row>
    <row r="82" spans="11:19" ht="15.6">
      <c r="K82" s="8"/>
      <c r="L82" s="7"/>
      <c r="M82" s="7"/>
      <c r="N82" s="21"/>
      <c r="O82" s="21"/>
      <c r="P82" s="21"/>
      <c r="Q82" s="21"/>
      <c r="R82" s="21"/>
      <c r="S82" s="21"/>
    </row>
    <row r="83" spans="11:19" ht="15.6">
      <c r="L83" s="7"/>
      <c r="M83" s="7"/>
      <c r="N83" s="21"/>
      <c r="O83" s="21"/>
      <c r="P83" s="21"/>
      <c r="Q83" s="21"/>
      <c r="R83" s="21"/>
      <c r="S83" s="21"/>
    </row>
    <row r="84" spans="11:19" ht="15.6">
      <c r="L84" s="7"/>
      <c r="M84" s="7"/>
      <c r="N84" s="21"/>
      <c r="O84" s="21"/>
      <c r="P84" s="21"/>
      <c r="Q84" s="21"/>
      <c r="R84" s="21"/>
      <c r="S84" s="21"/>
    </row>
    <row r="85" spans="11:19" ht="15.6">
      <c r="L85" s="7"/>
      <c r="M85" s="7"/>
      <c r="N85" s="21"/>
      <c r="O85" s="21"/>
      <c r="P85" s="21"/>
      <c r="Q85" s="21"/>
      <c r="R85" s="21"/>
      <c r="S85" s="21"/>
    </row>
    <row r="86" spans="11:19" ht="15.6">
      <c r="L86" s="7"/>
      <c r="M86" s="7"/>
      <c r="N86" s="21"/>
      <c r="O86" s="21"/>
      <c r="P86" s="21"/>
      <c r="Q86" s="21"/>
      <c r="R86" s="21"/>
      <c r="S86" s="21"/>
    </row>
    <row r="87" spans="11:19" ht="15.6">
      <c r="L87" s="7"/>
      <c r="M87" s="7"/>
      <c r="N87" s="21"/>
      <c r="O87" s="21"/>
      <c r="P87" s="21"/>
      <c r="Q87" s="21"/>
      <c r="R87" s="21"/>
      <c r="S87" s="21"/>
    </row>
    <row r="88" spans="11:19" ht="15.6">
      <c r="L88" s="7"/>
      <c r="M88" s="7"/>
      <c r="N88" s="21"/>
      <c r="O88" s="21"/>
      <c r="P88" s="21"/>
      <c r="Q88" s="21"/>
      <c r="R88" s="21"/>
      <c r="S88" s="21"/>
    </row>
    <row r="89" spans="11:19" ht="15.6">
      <c r="L89" s="7"/>
      <c r="M89" s="7"/>
      <c r="N89" s="21"/>
      <c r="O89" s="21"/>
      <c r="P89" s="21"/>
      <c r="Q89" s="21"/>
      <c r="R89" s="21"/>
      <c r="S89" s="21"/>
    </row>
    <row r="90" spans="11:19" ht="15.6">
      <c r="L90" s="7"/>
      <c r="M90" s="7"/>
      <c r="N90" s="21"/>
      <c r="O90" s="21"/>
      <c r="P90" s="21"/>
      <c r="Q90" s="21"/>
      <c r="R90" s="21"/>
      <c r="S90" s="21"/>
    </row>
    <row r="91" spans="11:19" ht="15.6">
      <c r="L91" s="7"/>
      <c r="M91" s="7"/>
      <c r="N91" s="21"/>
      <c r="O91" s="21"/>
      <c r="P91" s="21"/>
      <c r="Q91" s="21"/>
      <c r="R91" s="21"/>
      <c r="S91" s="21"/>
    </row>
    <row r="92" spans="11:19" ht="15.6">
      <c r="L92" s="7"/>
      <c r="M92" s="7"/>
      <c r="N92" s="21"/>
      <c r="O92" s="21"/>
      <c r="P92" s="21"/>
      <c r="Q92" s="21"/>
      <c r="R92" s="21"/>
      <c r="S92" s="21"/>
    </row>
    <row r="93" spans="11:19" ht="15.6">
      <c r="L93" s="7"/>
      <c r="M93" s="7"/>
      <c r="N93" s="21"/>
      <c r="O93" s="21"/>
      <c r="P93" s="21"/>
      <c r="Q93" s="21"/>
      <c r="R93" s="21"/>
      <c r="S93" s="21"/>
    </row>
    <row r="94" spans="11:19" ht="15.6">
      <c r="L94" s="7"/>
      <c r="M94" s="7"/>
      <c r="N94" s="21"/>
      <c r="O94" s="21"/>
      <c r="P94" s="21"/>
      <c r="Q94" s="21"/>
      <c r="R94" s="21"/>
      <c r="S94" s="21"/>
    </row>
    <row r="95" spans="11:19" ht="15.6">
      <c r="L95" s="7"/>
      <c r="M95" s="7"/>
      <c r="N95" s="21"/>
      <c r="O95" s="21"/>
      <c r="P95" s="21"/>
      <c r="Q95" s="21"/>
      <c r="R95" s="21"/>
      <c r="S95" s="21"/>
    </row>
    <row r="96" spans="11:19" ht="15.6">
      <c r="L96" s="7"/>
      <c r="M96" s="7"/>
      <c r="N96" s="21"/>
      <c r="O96" s="21"/>
      <c r="P96" s="21"/>
      <c r="Q96" s="21"/>
      <c r="R96" s="21"/>
      <c r="S96" s="21"/>
    </row>
    <row r="97" spans="12:19" ht="15.6">
      <c r="L97" s="7"/>
      <c r="M97" s="7"/>
      <c r="N97" s="21"/>
      <c r="O97" s="21"/>
      <c r="P97" s="21"/>
      <c r="Q97" s="21"/>
      <c r="R97" s="21"/>
      <c r="S97" s="21"/>
    </row>
    <row r="98" spans="12:19" ht="15.6">
      <c r="L98" s="7"/>
      <c r="M98" s="7"/>
      <c r="N98" s="21"/>
      <c r="O98" s="21"/>
      <c r="P98" s="21"/>
      <c r="Q98" s="21"/>
      <c r="R98" s="21"/>
      <c r="S98" s="21"/>
    </row>
    <row r="99" spans="12:19" ht="15.6">
      <c r="L99" s="7"/>
      <c r="M99" s="7"/>
      <c r="N99" s="21"/>
      <c r="O99" s="21"/>
      <c r="P99" s="21"/>
      <c r="Q99" s="21"/>
      <c r="R99" s="21"/>
      <c r="S99" s="21"/>
    </row>
    <row r="100" spans="12:19" ht="15.6">
      <c r="L100" s="7"/>
      <c r="M100" s="7"/>
      <c r="N100" s="21"/>
      <c r="O100" s="21"/>
      <c r="P100" s="21"/>
      <c r="Q100" s="21"/>
      <c r="R100" s="21"/>
      <c r="S100" s="21"/>
    </row>
    <row r="101" spans="12:19" ht="15.6">
      <c r="L101" s="7"/>
      <c r="M101" s="7"/>
      <c r="N101" s="21"/>
      <c r="O101" s="21"/>
      <c r="P101" s="21"/>
      <c r="Q101" s="21"/>
      <c r="R101" s="21"/>
      <c r="S101" s="21"/>
    </row>
    <row r="102" spans="12:19" ht="15.6">
      <c r="L102" s="7"/>
      <c r="M102" s="7"/>
      <c r="N102" s="21"/>
      <c r="O102" s="21"/>
      <c r="P102" s="21"/>
      <c r="Q102" s="21"/>
      <c r="R102" s="21"/>
      <c r="S102" s="21"/>
    </row>
    <row r="103" spans="12:19" ht="15.6">
      <c r="L103" s="7"/>
      <c r="M103" s="7"/>
      <c r="N103" s="21"/>
      <c r="O103" s="21"/>
      <c r="P103" s="21"/>
      <c r="Q103" s="21"/>
      <c r="R103" s="21"/>
      <c r="S103" s="21"/>
    </row>
    <row r="104" spans="12:19" ht="15.6">
      <c r="L104" s="7"/>
      <c r="M104" s="7"/>
      <c r="N104" s="21"/>
      <c r="O104" s="21"/>
      <c r="P104" s="21"/>
      <c r="Q104" s="21"/>
      <c r="R104" s="21"/>
      <c r="S104" s="21"/>
    </row>
    <row r="105" spans="12:19" ht="15.6">
      <c r="L105" s="7"/>
      <c r="M105" s="7"/>
      <c r="N105" s="21"/>
      <c r="O105" s="21"/>
      <c r="P105" s="21"/>
      <c r="Q105" s="21"/>
      <c r="R105" s="21"/>
      <c r="S105" s="21"/>
    </row>
    <row r="106" spans="12:19" ht="15.6">
      <c r="L106" s="7"/>
      <c r="M106" s="7"/>
      <c r="N106" s="21"/>
      <c r="O106" s="21"/>
      <c r="P106" s="21"/>
      <c r="Q106" s="21"/>
      <c r="R106" s="21"/>
      <c r="S106" s="21"/>
    </row>
    <row r="107" spans="12:19" ht="15.6">
      <c r="L107" s="7"/>
      <c r="M107" s="7"/>
      <c r="N107" s="21"/>
      <c r="O107" s="21"/>
      <c r="P107" s="21"/>
      <c r="Q107" s="21"/>
      <c r="R107" s="21"/>
      <c r="S107" s="21"/>
    </row>
    <row r="108" spans="12:19" ht="15.6">
      <c r="L108" s="7"/>
      <c r="M108" s="7"/>
      <c r="N108" s="21"/>
      <c r="O108" s="21"/>
      <c r="P108" s="21"/>
      <c r="Q108" s="21"/>
      <c r="R108" s="21"/>
      <c r="S108" s="21"/>
    </row>
    <row r="109" spans="12:19" ht="15.6">
      <c r="L109" s="11"/>
      <c r="M109" s="11"/>
      <c r="N109" s="22"/>
      <c r="O109" s="22"/>
      <c r="P109" s="22"/>
      <c r="Q109" s="22"/>
      <c r="R109" s="22"/>
      <c r="S109" s="22"/>
    </row>
    <row r="110" spans="12:19" ht="15.6">
      <c r="L110" s="11"/>
      <c r="M110" s="11"/>
      <c r="N110" s="22"/>
      <c r="O110" s="22"/>
      <c r="P110" s="22"/>
      <c r="Q110" s="22"/>
      <c r="R110" s="22"/>
      <c r="S110" s="22"/>
    </row>
    <row r="111" spans="12:19" ht="15.6">
      <c r="L111" s="11"/>
      <c r="M111" s="11"/>
      <c r="N111" s="22"/>
      <c r="O111" s="22"/>
      <c r="P111" s="22"/>
      <c r="Q111" s="22"/>
      <c r="R111" s="22"/>
      <c r="S111" s="22"/>
    </row>
    <row r="112" spans="12:19" ht="15.6">
      <c r="L112" s="11"/>
      <c r="M112" s="11"/>
      <c r="N112" s="22"/>
      <c r="O112" s="22"/>
      <c r="P112" s="22"/>
      <c r="Q112" s="22"/>
      <c r="R112" s="22"/>
      <c r="S112" s="22"/>
    </row>
    <row r="113" spans="12:19" ht="15.6">
      <c r="L113" s="11"/>
      <c r="M113" s="11"/>
      <c r="N113" s="22"/>
      <c r="O113" s="22"/>
      <c r="P113" s="22"/>
      <c r="Q113" s="22"/>
      <c r="R113" s="22"/>
      <c r="S113" s="22"/>
    </row>
    <row r="114" spans="12:19" ht="15.6">
      <c r="L114" s="11"/>
      <c r="M114" s="11"/>
      <c r="N114" s="22"/>
      <c r="O114" s="22"/>
      <c r="P114" s="22"/>
      <c r="Q114" s="22"/>
      <c r="R114" s="22"/>
      <c r="S114" s="22"/>
    </row>
    <row r="115" spans="12:19" ht="15.6">
      <c r="L115" s="11"/>
      <c r="M115" s="11"/>
      <c r="N115" s="22"/>
      <c r="O115" s="22"/>
      <c r="P115" s="22"/>
      <c r="Q115" s="22"/>
      <c r="R115" s="22"/>
      <c r="S115" s="22"/>
    </row>
  </sheetData>
  <mergeCells count="39">
    <mergeCell ref="T3:V3"/>
    <mergeCell ref="T4:T5"/>
    <mergeCell ref="A2:C5"/>
    <mergeCell ref="P3:R3"/>
    <mergeCell ref="P4:P5"/>
    <mergeCell ref="Q4:Q5"/>
    <mergeCell ref="R4:R5"/>
    <mergeCell ref="B22:C29"/>
    <mergeCell ref="L2:V2"/>
    <mergeCell ref="B6:B17"/>
    <mergeCell ref="G2:G5"/>
    <mergeCell ref="H2:H5"/>
    <mergeCell ref="I2:I5"/>
    <mergeCell ref="J2:J5"/>
    <mergeCell ref="K2:K5"/>
    <mergeCell ref="D2:D5"/>
    <mergeCell ref="E2:E5"/>
    <mergeCell ref="F2:F5"/>
    <mergeCell ref="L3:N3"/>
    <mergeCell ref="L4:L5"/>
    <mergeCell ref="N4:N5"/>
    <mergeCell ref="U4:U5"/>
    <mergeCell ref="V4:V5"/>
    <mergeCell ref="C6:C12"/>
    <mergeCell ref="A52:C55"/>
    <mergeCell ref="A56:C60"/>
    <mergeCell ref="M4:M5"/>
    <mergeCell ref="A61:E61"/>
    <mergeCell ref="A6:A21"/>
    <mergeCell ref="A37:C41"/>
    <mergeCell ref="C13:C14"/>
    <mergeCell ref="A50:C51"/>
    <mergeCell ref="A22:A30"/>
    <mergeCell ref="B30:C30"/>
    <mergeCell ref="C18:C20"/>
    <mergeCell ref="B18:B20"/>
    <mergeCell ref="A31:C36"/>
    <mergeCell ref="B21:C21"/>
    <mergeCell ref="A42:C49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seq_information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2016-12-22T03:48:30Z</dcterms:created>
  <dcterms:modified xsi:type="dcterms:W3CDTF">2020-07-22T01:22:43Z</dcterms:modified>
</cp:coreProperties>
</file>