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0" yWindow="90" windowWidth="20730" windowHeight="9630"/>
  </bookViews>
  <sheets>
    <sheet name="seq_information" sheetId="11" r:id="rId1"/>
  </sheets>
  <definedNames>
    <definedName name="_xlnm._FilterDatabase" localSheetId="0" hidden="1">seq_information!$A$5:$L$55</definedName>
  </definedNames>
  <calcPr calcId="144525"/>
</workbook>
</file>

<file path=xl/calcChain.xml><?xml version="1.0" encoding="utf-8"?>
<calcChain xmlns="http://schemas.openxmlformats.org/spreadsheetml/2006/main">
  <c r="AB56" i="11" l="1"/>
  <c r="N56" i="11" l="1"/>
  <c r="W56" i="11"/>
  <c r="X56" i="11"/>
  <c r="Y56" i="11"/>
  <c r="Z56" i="11"/>
  <c r="O56" i="11"/>
  <c r="P56" i="11"/>
  <c r="Q56" i="11"/>
  <c r="S56" i="11"/>
  <c r="V6" i="11" l="1"/>
  <c r="V7" i="11"/>
  <c r="V9" i="11"/>
  <c r="M24" i="11" l="1"/>
  <c r="K46" i="11"/>
  <c r="U46" i="11" l="1"/>
  <c r="L46" i="11"/>
  <c r="V46" i="11"/>
  <c r="M46" i="11"/>
  <c r="V53" i="11"/>
  <c r="V52" i="11"/>
  <c r="V51" i="11"/>
  <c r="V50" i="11"/>
  <c r="V49" i="11"/>
  <c r="V47" i="11"/>
  <c r="V45" i="11"/>
  <c r="V42" i="11"/>
  <c r="V41" i="11"/>
  <c r="V39" i="11"/>
  <c r="V38" i="11"/>
  <c r="V37" i="11"/>
  <c r="V36" i="11"/>
  <c r="V35" i="11"/>
  <c r="V34" i="11"/>
  <c r="V31" i="11"/>
  <c r="V32" i="11"/>
  <c r="V24" i="11"/>
  <c r="V30" i="11"/>
  <c r="V29" i="11"/>
  <c r="V28" i="11"/>
  <c r="V27" i="11"/>
  <c r="V25" i="11"/>
  <c r="V21" i="11"/>
  <c r="V19" i="11"/>
  <c r="V18" i="11"/>
  <c r="V16" i="11"/>
  <c r="V15" i="11"/>
  <c r="V13" i="11"/>
  <c r="V11" i="11"/>
  <c r="K48" i="11"/>
  <c r="U48" i="11" s="1"/>
  <c r="K43" i="11"/>
  <c r="V43" i="11" s="1"/>
  <c r="R46" i="11" l="1"/>
  <c r="AA46" i="11"/>
  <c r="U43" i="11"/>
  <c r="AA43" i="11" s="1"/>
  <c r="L43" i="11"/>
  <c r="M48" i="11"/>
  <c r="V48" i="11"/>
  <c r="AA48" i="11" s="1"/>
  <c r="L48" i="11"/>
  <c r="R48" i="11" s="1"/>
  <c r="M43" i="11"/>
  <c r="L53" i="11"/>
  <c r="L52" i="11"/>
  <c r="L51" i="11"/>
  <c r="L50" i="11"/>
  <c r="L49" i="11"/>
  <c r="L47" i="11"/>
  <c r="L45" i="11"/>
  <c r="L42" i="11"/>
  <c r="L41" i="11"/>
  <c r="L39" i="11"/>
  <c r="L38" i="11"/>
  <c r="M35" i="11"/>
  <c r="L37" i="11"/>
  <c r="L36" i="11"/>
  <c r="L35" i="11"/>
  <c r="R35" i="11" s="1"/>
  <c r="L31" i="11"/>
  <c r="L30" i="11"/>
  <c r="L28" i="11"/>
  <c r="L21" i="11"/>
  <c r="L19" i="11"/>
  <c r="L18" i="11"/>
  <c r="L16" i="11"/>
  <c r="L15" i="11"/>
  <c r="L13" i="11"/>
  <c r="L11" i="11"/>
  <c r="L9" i="11"/>
  <c r="M9" i="11"/>
  <c r="L7" i="11"/>
  <c r="L6" i="11"/>
  <c r="R9" i="11" l="1"/>
  <c r="R43" i="11"/>
  <c r="M53" i="11"/>
  <c r="R53" i="11" s="1"/>
  <c r="M52" i="11"/>
  <c r="R52" i="11" s="1"/>
  <c r="M51" i="11"/>
  <c r="R51" i="11" s="1"/>
  <c r="M50" i="11"/>
  <c r="R50" i="11" s="1"/>
  <c r="M49" i="11"/>
  <c r="R49" i="11" s="1"/>
  <c r="M47" i="11"/>
  <c r="R47" i="11" s="1"/>
  <c r="M45" i="11"/>
  <c r="R45" i="11" s="1"/>
  <c r="M42" i="11"/>
  <c r="R42" i="11" s="1"/>
  <c r="M41" i="11"/>
  <c r="R41" i="11" s="1"/>
  <c r="M39" i="11"/>
  <c r="R39" i="11" s="1"/>
  <c r="M38" i="11"/>
  <c r="R38" i="11" s="1"/>
  <c r="M37" i="11"/>
  <c r="R37" i="11" s="1"/>
  <c r="M36" i="11"/>
  <c r="R36" i="11" s="1"/>
  <c r="M34" i="11"/>
  <c r="M30" i="11"/>
  <c r="R30" i="11" s="1"/>
  <c r="M32" i="11"/>
  <c r="M31" i="11"/>
  <c r="R31" i="11" s="1"/>
  <c r="L27" i="11"/>
  <c r="L24" i="11"/>
  <c r="R24" i="11" s="1"/>
  <c r="L34" i="11"/>
  <c r="R34" i="11" s="1"/>
  <c r="L25" i="11"/>
  <c r="L32" i="11"/>
  <c r="R32" i="11" s="1"/>
  <c r="L29" i="11"/>
  <c r="M29" i="11"/>
  <c r="M25" i="11"/>
  <c r="M28" i="11"/>
  <c r="R28" i="11" s="1"/>
  <c r="M27" i="11"/>
  <c r="M21" i="11"/>
  <c r="R21" i="11" s="1"/>
  <c r="M19" i="11"/>
  <c r="R19" i="11" s="1"/>
  <c r="M18" i="11"/>
  <c r="R18" i="11" s="1"/>
  <c r="M16" i="11"/>
  <c r="R16" i="11" s="1"/>
  <c r="M15" i="11"/>
  <c r="R15" i="11" s="1"/>
  <c r="M13" i="11"/>
  <c r="R13" i="11" s="1"/>
  <c r="M11" i="11"/>
  <c r="R11" i="11" s="1"/>
  <c r="M7" i="11"/>
  <c r="R7" i="11" s="1"/>
  <c r="M6" i="11"/>
  <c r="R6" i="11" s="1"/>
  <c r="R25" i="11" l="1"/>
  <c r="R27" i="11"/>
  <c r="R29" i="11"/>
  <c r="U53" i="11"/>
  <c r="AA53" i="11" s="1"/>
  <c r="U52" i="11"/>
  <c r="AA52" i="11" s="1"/>
  <c r="U51" i="11"/>
  <c r="AA51" i="11" s="1"/>
  <c r="U50" i="11"/>
  <c r="AA50" i="11" s="1"/>
  <c r="U49" i="11"/>
  <c r="AA49" i="11" s="1"/>
  <c r="U47" i="11"/>
  <c r="AA47" i="11" s="1"/>
  <c r="U45" i="11"/>
  <c r="AA45" i="11" s="1"/>
  <c r="U42" i="11"/>
  <c r="AA42" i="11" s="1"/>
  <c r="U41" i="11"/>
  <c r="AA41" i="11" s="1"/>
  <c r="U39" i="11"/>
  <c r="AA39" i="11" s="1"/>
  <c r="U38" i="11"/>
  <c r="AA38" i="11" s="1"/>
  <c r="U37" i="11"/>
  <c r="AA37" i="11" s="1"/>
  <c r="U36" i="11"/>
  <c r="AA36" i="11" s="1"/>
  <c r="U35" i="11"/>
  <c r="AA35" i="11" s="1"/>
  <c r="U34" i="11"/>
  <c r="AA34" i="11" s="1"/>
  <c r="U32" i="11"/>
  <c r="AA32" i="11" s="1"/>
  <c r="U31" i="11"/>
  <c r="AA31" i="11" s="1"/>
  <c r="U30" i="11"/>
  <c r="AA30" i="11" s="1"/>
  <c r="U29" i="11"/>
  <c r="AA29" i="11" s="1"/>
  <c r="U28" i="11"/>
  <c r="AA28" i="11" s="1"/>
  <c r="U27" i="11"/>
  <c r="AA27" i="11" s="1"/>
  <c r="U25" i="11"/>
  <c r="AA25" i="11" s="1"/>
  <c r="U24" i="11"/>
  <c r="AA24" i="11" s="1"/>
  <c r="U21" i="11"/>
  <c r="AA21" i="11" s="1"/>
  <c r="U19" i="11"/>
  <c r="AA19" i="11" s="1"/>
  <c r="U18" i="11"/>
  <c r="AA18" i="11" s="1"/>
  <c r="U16" i="11"/>
  <c r="AA16" i="11" s="1"/>
  <c r="U15" i="11"/>
  <c r="AA15" i="11" s="1"/>
  <c r="U13" i="11"/>
  <c r="AA13" i="11" s="1"/>
  <c r="U11" i="11"/>
  <c r="AA11" i="11" s="1"/>
  <c r="U9" i="11"/>
  <c r="AA9" i="11" s="1"/>
  <c r="U7" i="11"/>
  <c r="AA7" i="11" s="1"/>
  <c r="U6" i="11"/>
  <c r="AA6" i="11" s="1"/>
  <c r="K55" i="11" l="1"/>
  <c r="K54" i="11"/>
  <c r="K26" i="11"/>
  <c r="K23" i="11"/>
  <c r="K20" i="11"/>
  <c r="K17" i="11"/>
  <c r="K12" i="11"/>
  <c r="K10" i="11"/>
  <c r="K8" i="11"/>
  <c r="V8" i="11" s="1"/>
  <c r="K14" i="11"/>
  <c r="K44" i="11"/>
  <c r="K40" i="11"/>
  <c r="K33" i="11"/>
  <c r="K22" i="11"/>
  <c r="V22" i="11" l="1"/>
  <c r="L22" i="11"/>
  <c r="M22" i="11"/>
  <c r="U22" i="11"/>
  <c r="V40" i="11"/>
  <c r="L40" i="11"/>
  <c r="M40" i="11"/>
  <c r="U40" i="11"/>
  <c r="V14" i="11"/>
  <c r="L14" i="11"/>
  <c r="M14" i="11"/>
  <c r="U14" i="11"/>
  <c r="V10" i="11"/>
  <c r="L10" i="11"/>
  <c r="M10" i="11"/>
  <c r="U10" i="11"/>
  <c r="V17" i="11"/>
  <c r="L17" i="11"/>
  <c r="M17" i="11"/>
  <c r="U17" i="11"/>
  <c r="V23" i="11"/>
  <c r="L23" i="11"/>
  <c r="M23" i="11"/>
  <c r="U23" i="11"/>
  <c r="V54" i="11"/>
  <c r="M54" i="11"/>
  <c r="L54" i="11"/>
  <c r="R54" i="11" s="1"/>
  <c r="U54" i="11"/>
  <c r="V33" i="11"/>
  <c r="L33" i="11"/>
  <c r="M33" i="11"/>
  <c r="U33" i="11"/>
  <c r="V44" i="11"/>
  <c r="M44" i="11"/>
  <c r="L44" i="11"/>
  <c r="R44" i="11" s="1"/>
  <c r="U44" i="11"/>
  <c r="M8" i="11"/>
  <c r="L8" i="11"/>
  <c r="U8" i="11"/>
  <c r="AA8" i="11" s="1"/>
  <c r="V12" i="11"/>
  <c r="L12" i="11"/>
  <c r="R12" i="11" s="1"/>
  <c r="M12" i="11"/>
  <c r="U12" i="11"/>
  <c r="AA12" i="11" s="1"/>
  <c r="V20" i="11"/>
  <c r="M20" i="11"/>
  <c r="L20" i="11"/>
  <c r="U20" i="11"/>
  <c r="AA20" i="11" s="1"/>
  <c r="V26" i="11"/>
  <c r="M26" i="11"/>
  <c r="L26" i="11"/>
  <c r="U26" i="11"/>
  <c r="AA26" i="11" s="1"/>
  <c r="V55" i="11"/>
  <c r="M55" i="11"/>
  <c r="L55" i="11"/>
  <c r="U55" i="11"/>
  <c r="AA55" i="11" s="1"/>
  <c r="V56" i="11" l="1"/>
  <c r="R55" i="11"/>
  <c r="R26" i="11"/>
  <c r="R20" i="11"/>
  <c r="R8" i="11"/>
  <c r="AA44" i="11"/>
  <c r="AA33" i="11"/>
  <c r="R33" i="11"/>
  <c r="AA54" i="11"/>
  <c r="AA23" i="11"/>
  <c r="R23" i="11"/>
  <c r="AA17" i="11"/>
  <c r="R17" i="11"/>
  <c r="AA10" i="11"/>
  <c r="R10" i="11"/>
  <c r="AA14" i="11"/>
  <c r="R14" i="11"/>
  <c r="AA40" i="11"/>
  <c r="R40" i="11"/>
  <c r="AA22" i="11"/>
  <c r="R22" i="11"/>
  <c r="L56" i="11"/>
  <c r="U56" i="11"/>
  <c r="M56" i="11"/>
  <c r="AA56" i="11" l="1"/>
  <c r="R56" i="11"/>
</calcChain>
</file>

<file path=xl/sharedStrings.xml><?xml version="1.0" encoding="utf-8"?>
<sst xmlns="http://schemas.openxmlformats.org/spreadsheetml/2006/main" count="255" uniqueCount="231">
  <si>
    <t>S10</t>
  </si>
  <si>
    <t>S11</t>
  </si>
  <si>
    <t>S12</t>
  </si>
  <si>
    <t>S13</t>
  </si>
  <si>
    <t>S14</t>
  </si>
  <si>
    <t>Start</t>
  </si>
  <si>
    <t>End</t>
  </si>
  <si>
    <t>NC_000023</t>
  </si>
  <si>
    <t>Pan troglodytes</t>
  </si>
  <si>
    <t>NC_006474</t>
  </si>
  <si>
    <t>NC_000085</t>
  </si>
  <si>
    <t>NC_006099</t>
  </si>
  <si>
    <t>Anolis carolinensis</t>
  </si>
  <si>
    <t>NC_014777</t>
  </si>
  <si>
    <t>Danio rerio</t>
  </si>
  <si>
    <t>NC_007135</t>
  </si>
  <si>
    <t>Drosophila melanogaster</t>
  </si>
  <si>
    <t>NT_033778</t>
  </si>
  <si>
    <t>Anopheles gambiae</t>
  </si>
  <si>
    <t>NT_078267</t>
  </si>
  <si>
    <t>Caenorhabditis elegans</t>
  </si>
  <si>
    <t>Arabidopsis thaliana</t>
  </si>
  <si>
    <t>NC_003070</t>
  </si>
  <si>
    <t>NC_008401</t>
  </si>
  <si>
    <t>NC_001137</t>
  </si>
  <si>
    <t>NC_017844</t>
  </si>
  <si>
    <t>Aspergillus fumigatus</t>
  </si>
  <si>
    <t>NC_007194</t>
  </si>
  <si>
    <t>S15</t>
  </si>
  <si>
    <t>Cryptococcus neoformans</t>
  </si>
  <si>
    <t>NC_006679</t>
  </si>
  <si>
    <t>S16</t>
  </si>
  <si>
    <t>Encephalitozoon cuniculi</t>
  </si>
  <si>
    <t>NC_003237</t>
  </si>
  <si>
    <t>S17</t>
  </si>
  <si>
    <t>Dictyostelium discoideum</t>
  </si>
  <si>
    <t>NC_007087</t>
  </si>
  <si>
    <t>S18</t>
  </si>
  <si>
    <t>Plasmodium vivax</t>
  </si>
  <si>
    <t>NC_009917</t>
  </si>
  <si>
    <t>S19</t>
  </si>
  <si>
    <t>Paramecium tetraurelia</t>
  </si>
  <si>
    <t>NC_006058</t>
  </si>
  <si>
    <t>genome</t>
  </si>
  <si>
    <t>S20</t>
  </si>
  <si>
    <t>Leishmania infantum</t>
  </si>
  <si>
    <t>NC_009408</t>
  </si>
  <si>
    <t>S21</t>
  </si>
  <si>
    <t>Escherichia coli</t>
  </si>
  <si>
    <t>NC_011750</t>
  </si>
  <si>
    <t>S22</t>
  </si>
  <si>
    <t>S23</t>
  </si>
  <si>
    <t>S24</t>
  </si>
  <si>
    <t>Rickettsia conorii</t>
  </si>
  <si>
    <t>NC_003103</t>
  </si>
  <si>
    <t>S25</t>
  </si>
  <si>
    <t>S26</t>
  </si>
  <si>
    <t>Mycoplasma arthritidis</t>
  </si>
  <si>
    <t>NC_011025</t>
  </si>
  <si>
    <t>S27</t>
  </si>
  <si>
    <t>S28</t>
  </si>
  <si>
    <t>NC_013799</t>
  </si>
  <si>
    <t>S29</t>
  </si>
  <si>
    <t>Methanococcus aeolicus</t>
  </si>
  <si>
    <t>NC_009635</t>
  </si>
  <si>
    <t>S30</t>
  </si>
  <si>
    <t>Sulfolobus tokodaii</t>
  </si>
  <si>
    <t>NC_003106</t>
  </si>
  <si>
    <t>S31</t>
  </si>
  <si>
    <t>NC_000852</t>
  </si>
  <si>
    <t>S32</t>
  </si>
  <si>
    <t>Ranid herpesvirus 1</t>
  </si>
  <si>
    <t>NC_008211</t>
  </si>
  <si>
    <t>S33</t>
  </si>
  <si>
    <t>Oryctolagus cuniculus</t>
  </si>
  <si>
    <t>NC_013675</t>
  </si>
  <si>
    <t>Animals</t>
  </si>
  <si>
    <t>Vertebrates</t>
  </si>
  <si>
    <t>Mammals</t>
  </si>
  <si>
    <t>Species Name</t>
  </si>
  <si>
    <t>Acc. No.</t>
  </si>
  <si>
    <t>Length</t>
  </si>
  <si>
    <t>chr. X</t>
  </si>
  <si>
    <t>chr. 7</t>
  </si>
  <si>
    <t xml:space="preserve">Mus musculus </t>
  </si>
  <si>
    <t>chr. 19</t>
  </si>
  <si>
    <t>Ovis aries</t>
  </si>
  <si>
    <t>chr.6</t>
  </si>
  <si>
    <t xml:space="preserve">Equus caballus </t>
  </si>
  <si>
    <t>chr.19</t>
  </si>
  <si>
    <t>NC_009162</t>
  </si>
  <si>
    <t>Felis catus</t>
  </si>
  <si>
    <t>Birds</t>
  </si>
  <si>
    <t xml:space="preserve">Gallus gallus </t>
  </si>
  <si>
    <t>chr. 12</t>
  </si>
  <si>
    <t>Taeniopygia guttata</t>
  </si>
  <si>
    <t>chr.8</t>
  </si>
  <si>
    <t>NC_011472</t>
  </si>
  <si>
    <t>Reptiles</t>
  </si>
  <si>
    <t>chr. 2</t>
  </si>
  <si>
    <t>Xenopus laevis</t>
  </si>
  <si>
    <t>Fishes</t>
  </si>
  <si>
    <t>chr. 24</t>
  </si>
  <si>
    <t>Arthropods</t>
  </si>
  <si>
    <t>Insects</t>
  </si>
  <si>
    <t>chr. 2R</t>
  </si>
  <si>
    <t>chr. 3L</t>
  </si>
  <si>
    <t>Apis mellifera</t>
  </si>
  <si>
    <t>chr.LG11</t>
  </si>
  <si>
    <t>NC_007080</t>
  </si>
  <si>
    <t>Nematodes</t>
  </si>
  <si>
    <t>chr. I</t>
  </si>
  <si>
    <t>Plants</t>
  </si>
  <si>
    <t>Eudicots</t>
  </si>
  <si>
    <t>chr. 1</t>
  </si>
  <si>
    <t>Citrus sinensis</t>
  </si>
  <si>
    <t>chr.1</t>
  </si>
  <si>
    <t>NC_023046</t>
  </si>
  <si>
    <t xml:space="preserve">Theobroma cacao </t>
  </si>
  <si>
    <t>chr.3</t>
  </si>
  <si>
    <t>NC_023623</t>
  </si>
  <si>
    <t>Glycine max</t>
  </si>
  <si>
    <t>chr.18</t>
  </si>
  <si>
    <t>NC_016105</t>
  </si>
  <si>
    <t>Cucumis sativus</t>
  </si>
  <si>
    <t>Vitis vinifera</t>
  </si>
  <si>
    <t>chr.15</t>
  </si>
  <si>
    <t>NC_012021</t>
  </si>
  <si>
    <t>Solanum lycopersicum</t>
  </si>
  <si>
    <t>chr.5</t>
  </si>
  <si>
    <t>NC_015442</t>
  </si>
  <si>
    <t>Beta vulgaris</t>
  </si>
  <si>
    <t>chr.4</t>
  </si>
  <si>
    <t>NC_025815</t>
  </si>
  <si>
    <t>Monocots</t>
  </si>
  <si>
    <t>chr. 8</t>
  </si>
  <si>
    <t>chr. V</t>
  </si>
  <si>
    <t>Candida glabrata</t>
  </si>
  <si>
    <t>chr.D</t>
  </si>
  <si>
    <t>Neurospora crassa</t>
  </si>
  <si>
    <t>chr.V</t>
  </si>
  <si>
    <t>chr. 10</t>
  </si>
  <si>
    <t>chr. XI</t>
  </si>
  <si>
    <t xml:space="preserve">Hydrogenobacter thermophilus </t>
  </si>
  <si>
    <t>Genome Size (Mb)</t>
    <phoneticPr fontId="5" type="noConversion"/>
  </si>
  <si>
    <t>Fungus</t>
    <phoneticPr fontId="5" type="noConversion"/>
  </si>
  <si>
    <t>Protists</t>
    <phoneticPr fontId="5" type="noConversion"/>
  </si>
  <si>
    <t>Bacteria</t>
    <phoneticPr fontId="5" type="noConversion"/>
  </si>
  <si>
    <t>Archaea</t>
    <phoneticPr fontId="5" type="noConversion"/>
  </si>
  <si>
    <t>Virus</t>
    <phoneticPr fontId="5" type="noConversion"/>
  </si>
  <si>
    <t>NC_006027</t>
    <phoneticPr fontId="5" type="noConversion"/>
  </si>
  <si>
    <t>NC_026505</t>
    <phoneticPr fontId="5" type="noConversion"/>
  </si>
  <si>
    <t>S34</t>
  </si>
  <si>
    <t>S35</t>
  </si>
  <si>
    <t>S36</t>
  </si>
  <si>
    <t>S37</t>
  </si>
  <si>
    <t>S38</t>
  </si>
  <si>
    <t>S39</t>
  </si>
  <si>
    <t>S40</t>
  </si>
  <si>
    <t>S41</t>
  </si>
  <si>
    <t>S42</t>
  </si>
  <si>
    <t>S43</t>
  </si>
  <si>
    <t>S44</t>
  </si>
  <si>
    <t>S45</t>
  </si>
  <si>
    <t>S46</t>
  </si>
  <si>
    <t>S47</t>
  </si>
  <si>
    <t>S48</t>
  </si>
  <si>
    <t>NC_019463</t>
    <phoneticPr fontId="5" type="noConversion"/>
  </si>
  <si>
    <t>chr.C1</t>
    <phoneticPr fontId="5" type="noConversion"/>
  </si>
  <si>
    <t>NC_018730</t>
  </si>
  <si>
    <t>chr.1</t>
    <phoneticPr fontId="5" type="noConversion"/>
  </si>
  <si>
    <t>Amphibians</t>
    <phoneticPr fontId="5" type="noConversion"/>
  </si>
  <si>
    <t>CM004473</t>
  </si>
  <si>
    <t>Genome</t>
    <phoneticPr fontId="5" type="noConversion"/>
  </si>
  <si>
    <t>NC_026655</t>
  </si>
  <si>
    <t>S49</t>
  </si>
  <si>
    <t>S50</t>
  </si>
  <si>
    <t>X17403</t>
  </si>
  <si>
    <t xml:space="preserve"> Human cytomegalovirus</t>
    <phoneticPr fontId="5" type="noConversion"/>
  </si>
  <si>
    <t>Human herpesvirus 5</t>
    <phoneticPr fontId="5" type="noConversion"/>
  </si>
  <si>
    <t xml:space="preserve">AY446894 </t>
  </si>
  <si>
    <t>Homo sapiens</t>
    <phoneticPr fontId="5" type="noConversion"/>
  </si>
  <si>
    <r>
      <t>T</t>
    </r>
    <r>
      <rPr>
        <b/>
        <sz val="11"/>
        <rFont val="Times New Roman"/>
        <family val="1"/>
      </rPr>
      <t>axonomy</t>
    </r>
    <phoneticPr fontId="5" type="noConversion"/>
  </si>
  <si>
    <t>Oryza sativa</t>
    <phoneticPr fontId="5" type="noConversion"/>
  </si>
  <si>
    <t>Saccharomyces cerevisiae</t>
    <phoneticPr fontId="5" type="noConversion"/>
  </si>
  <si>
    <t>Paramecium bursaria Chlorella virus 1</t>
    <phoneticPr fontId="5" type="noConversion"/>
  </si>
  <si>
    <t>stain J 
chr. 4S</t>
    <phoneticPr fontId="5" type="noConversion"/>
  </si>
  <si>
    <t>NC_003279</t>
    <phoneticPr fontId="5" type="noConversion"/>
  </si>
  <si>
    <t>NZ_CP029206</t>
    <phoneticPr fontId="5" type="noConversion"/>
  </si>
  <si>
    <t>NC_013895</t>
    <phoneticPr fontId="5" type="noConversion"/>
  </si>
  <si>
    <t>NC_015318</t>
    <phoneticPr fontId="5" type="noConversion"/>
  </si>
  <si>
    <t>NC_014734</t>
    <phoneticPr fontId="5" type="noConversion"/>
  </si>
  <si>
    <t>Standard A group</t>
    <phoneticPr fontId="5" type="noConversion"/>
  </si>
  <si>
    <t>Pyricularia oryzae</t>
    <phoneticPr fontId="5" type="noConversion"/>
  </si>
  <si>
    <t>Mageeibacillus indolicus</t>
    <phoneticPr fontId="5" type="noConversion"/>
  </si>
  <si>
    <t>Actinobacillus porcitonsillarum</t>
    <phoneticPr fontId="5" type="noConversion"/>
  </si>
  <si>
    <t>Paludibacter propionicigenes</t>
    <phoneticPr fontId="5" type="noConversion"/>
  </si>
  <si>
    <t>Hippea maritima</t>
    <phoneticPr fontId="5" type="noConversion"/>
  </si>
  <si>
    <r>
      <rPr>
        <vertAlign val="superscript"/>
        <sz val="11"/>
        <rFont val="Times New Roman"/>
        <family val="1"/>
      </rPr>
      <t>a</t>
    </r>
    <r>
      <rPr>
        <sz val="11"/>
        <rFont val="Times New Roman"/>
        <family val="1"/>
      </rPr>
      <t xml:space="preserve"> Under the threshold of 3, 2, 2, 2, 2, 2 for identifiying the minimum number of mono-, di-, tri-, tetra-, penta- and hexanucleotide SSRs. </t>
    </r>
    <phoneticPr fontId="5" type="noConversion"/>
  </si>
  <si>
    <t>segment</t>
  </si>
  <si>
    <t>Percentage_SSR(%)</t>
    <phoneticPr fontId="5" type="noConversion"/>
  </si>
  <si>
    <r>
      <rPr>
        <vertAlign val="superscript"/>
        <sz val="11"/>
        <rFont val="Times New Roman"/>
        <family val="1"/>
      </rPr>
      <t>b</t>
    </r>
    <r>
      <rPr>
        <sz val="11"/>
        <rFont val="Times New Roman"/>
        <family val="1"/>
      </rPr>
      <t xml:space="preserve"> Under the threshold of 3, 2, 2, 2, 2, 2 for identifiying the minimum number of mono-, di-, tri-, tetra-, penta- and hexanucleotide SSRs in the generated segment according to the nucleotide compositions of the reported segment.</t>
    </r>
    <phoneticPr fontId="5" type="noConversion"/>
  </si>
  <si>
    <t>Standard B group</t>
    <phoneticPr fontId="5" type="noConversion"/>
  </si>
  <si>
    <t>Mean difference</t>
    <phoneticPr fontId="5" type="noConversion"/>
  </si>
  <si>
    <r>
      <t>Generated segment</t>
    </r>
    <r>
      <rPr>
        <b/>
        <vertAlign val="superscript"/>
        <sz val="11"/>
        <rFont val="Times New Roman"/>
        <family val="1"/>
      </rPr>
      <t>b</t>
    </r>
    <r>
      <rPr>
        <b/>
        <sz val="11"/>
        <rFont val="Times New Roman"/>
        <family val="1"/>
      </rPr>
      <t xml:space="preserve"> </t>
    </r>
    <phoneticPr fontId="5" type="noConversion"/>
  </si>
  <si>
    <t xml:space="preserve">Generated segment 1 </t>
    <phoneticPr fontId="5" type="noConversion"/>
  </si>
  <si>
    <t>Generated segment 1</t>
    <phoneticPr fontId="5" type="noConversion"/>
  </si>
  <si>
    <r>
      <t>Reported sample segment</t>
    </r>
    <r>
      <rPr>
        <b/>
        <vertAlign val="superscript"/>
        <sz val="12"/>
        <rFont val="Times New Roman"/>
        <family val="1"/>
      </rPr>
      <t>a</t>
    </r>
    <r>
      <rPr>
        <b/>
        <sz val="12"/>
        <rFont val="Times New Roman"/>
        <family val="1"/>
      </rPr>
      <t xml:space="preserve"> </t>
    </r>
    <phoneticPr fontId="5" type="noConversion"/>
  </si>
  <si>
    <r>
      <t>Mean difference</t>
    </r>
    <r>
      <rPr>
        <b/>
        <vertAlign val="superscript"/>
        <sz val="12"/>
        <rFont val="Times New Roman"/>
        <family val="1"/>
      </rPr>
      <t>c</t>
    </r>
    <phoneticPr fontId="5" type="noConversion"/>
  </si>
  <si>
    <r>
      <t>Reported sample segment</t>
    </r>
    <r>
      <rPr>
        <b/>
        <vertAlign val="superscript"/>
        <sz val="12"/>
        <rFont val="Times New Roman"/>
        <family val="1"/>
      </rPr>
      <t>d</t>
    </r>
    <r>
      <rPr>
        <b/>
        <sz val="12"/>
        <rFont val="Times New Roman"/>
        <family val="1"/>
      </rPr>
      <t xml:space="preserve"> </t>
    </r>
    <phoneticPr fontId="5" type="noConversion"/>
  </si>
  <si>
    <r>
      <t>Generated segment</t>
    </r>
    <r>
      <rPr>
        <b/>
        <vertAlign val="superscript"/>
        <sz val="11"/>
        <rFont val="Times New Roman"/>
        <family val="1"/>
      </rPr>
      <t>e</t>
    </r>
    <phoneticPr fontId="5" type="noConversion"/>
  </si>
  <si>
    <r>
      <rPr>
        <vertAlign val="superscript"/>
        <sz val="11"/>
        <rFont val="Times New Roman"/>
        <family val="1"/>
      </rPr>
      <t>d</t>
    </r>
    <r>
      <rPr>
        <sz val="11"/>
        <rFont val="Times New Roman"/>
        <family val="1"/>
      </rPr>
      <t xml:space="preserve"> Under the threshold of 6, 3, 3, 3, 3, 3 for identifiying the minimum number of mono-, di-, tri-, tetra-, penta- and hexanucleotide SSRs.</t>
    </r>
    <phoneticPr fontId="5" type="noConversion"/>
  </si>
  <si>
    <r>
      <rPr>
        <vertAlign val="superscript"/>
        <sz val="11"/>
        <rFont val="Times New Roman"/>
        <family val="1"/>
      </rPr>
      <t>e</t>
    </r>
    <r>
      <rPr>
        <sz val="11"/>
        <rFont val="Times New Roman"/>
        <family val="1"/>
      </rPr>
      <t xml:space="preserve"> Under the threshold of 6, 3, 3, 3, 3, 3 for identifiying the minimum number of mono-, di-, tri-, tetra-, penta- and hexanucleotide SSRs in the generated segment according to the nucleotide compositions of the reported segment.</t>
    </r>
    <phoneticPr fontId="5" type="noConversion"/>
  </si>
  <si>
    <r>
      <rPr>
        <vertAlign val="superscript"/>
        <sz val="11"/>
        <rFont val="Times New Roman"/>
        <family val="1"/>
      </rPr>
      <t>c</t>
    </r>
    <r>
      <rPr>
        <sz val="11"/>
        <rFont val="Times New Roman"/>
        <family val="1"/>
      </rPr>
      <t xml:space="preserve"> The mean difference of SSR percentage in the reported sample segments from those in 5 generated sequences.</t>
    </r>
    <phoneticPr fontId="5" type="noConversion"/>
  </si>
  <si>
    <t>Supplementary Table 1.  The basic information and SSR percentages in 55 randomly-selected reported segments</t>
    <phoneticPr fontId="5" type="noConversion"/>
  </si>
  <si>
    <r>
      <t>Generated segment</t>
    </r>
    <r>
      <rPr>
        <b/>
        <vertAlign val="superscript"/>
        <sz val="12"/>
        <rFont val="Times New Roman"/>
        <family val="1"/>
      </rPr>
      <t xml:space="preserve"> </t>
    </r>
    <r>
      <rPr>
        <b/>
        <sz val="12"/>
        <rFont val="Times New Roman"/>
        <family val="1"/>
      </rPr>
      <t>2</t>
    </r>
    <phoneticPr fontId="5" type="noConversion"/>
  </si>
  <si>
    <r>
      <t>Generated segment</t>
    </r>
    <r>
      <rPr>
        <b/>
        <vertAlign val="superscript"/>
        <sz val="12"/>
        <rFont val="Times New Roman"/>
        <family val="1"/>
      </rPr>
      <t xml:space="preserve"> </t>
    </r>
    <r>
      <rPr>
        <b/>
        <sz val="12"/>
        <rFont val="Times New Roman"/>
        <family val="1"/>
      </rPr>
      <t>3</t>
    </r>
    <phoneticPr fontId="5" type="noConversion"/>
  </si>
  <si>
    <r>
      <t>Generated segment</t>
    </r>
    <r>
      <rPr>
        <b/>
        <vertAlign val="superscript"/>
        <sz val="12"/>
        <rFont val="Times New Roman"/>
        <family val="1"/>
      </rPr>
      <t xml:space="preserve"> </t>
    </r>
    <r>
      <rPr>
        <b/>
        <sz val="12"/>
        <rFont val="Times New Roman"/>
        <family val="1"/>
      </rPr>
      <t>4</t>
    </r>
    <phoneticPr fontId="5" type="noConversion"/>
  </si>
  <si>
    <r>
      <t>Generated segment</t>
    </r>
    <r>
      <rPr>
        <b/>
        <vertAlign val="superscript"/>
        <sz val="12"/>
        <rFont val="Times New Roman"/>
        <family val="1"/>
      </rPr>
      <t xml:space="preserve"> </t>
    </r>
    <r>
      <rPr>
        <b/>
        <sz val="12"/>
        <rFont val="Times New Roman"/>
        <family val="1"/>
      </rPr>
      <t>5</t>
    </r>
    <phoneticPr fontId="5" type="noConversion"/>
  </si>
  <si>
    <t>Average</t>
    <phoneticPr fontId="5" type="noConversion"/>
  </si>
  <si>
    <t>S01</t>
    <phoneticPr fontId="5" type="noConversion"/>
  </si>
  <si>
    <t>S02</t>
    <phoneticPr fontId="5" type="noConversion"/>
  </si>
  <si>
    <t>S03</t>
  </si>
  <si>
    <t>S04</t>
  </si>
  <si>
    <t>S05</t>
  </si>
  <si>
    <t>S06</t>
  </si>
  <si>
    <t>S07</t>
  </si>
  <si>
    <t>S08</t>
  </si>
  <si>
    <t>S09</t>
  </si>
  <si>
    <r>
      <t>p(T</t>
    </r>
    <r>
      <rPr>
        <b/>
        <sz val="12"/>
        <rFont val="宋体"/>
        <family val="3"/>
        <charset val="134"/>
      </rPr>
      <t>≤</t>
    </r>
    <r>
      <rPr>
        <b/>
        <sz val="12"/>
        <rFont val="Times New Roman"/>
        <family val="1"/>
      </rPr>
      <t>t), one tail t-test</t>
    </r>
    <phoneticPr fontId="5" type="noConversion"/>
  </si>
  <si>
    <r>
      <t>p(T</t>
    </r>
    <r>
      <rPr>
        <b/>
        <sz val="12"/>
        <rFont val="宋体"/>
        <family val="3"/>
        <charset val="134"/>
      </rPr>
      <t>≤</t>
    </r>
    <r>
      <rPr>
        <b/>
        <sz val="12"/>
        <rFont val="Times New Roman"/>
        <family val="1"/>
      </rPr>
      <t>t), one tail t-test</t>
    </r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</si>
</sst>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_ "/>
    <numFmt numFmtId="177" formatCode="0.00_ "/>
    <numFmt numFmtId="178" formatCode="0.0_);[Red]\(0.0\)"/>
  </numFmts>
  <fonts count="49">
    <font>
      <sz val="11"/>
      <color theme="1"/>
      <name val="宋体"/>
      <charset val="134"/>
      <scheme val="minor"/>
    </font>
    <font>
      <sz val="11"/>
      <color theme="1"/>
      <name val="宋体"/>
      <family val="2"/>
      <charset val="134"/>
      <scheme val="minor"/>
    </font>
    <font>
      <sz val="12"/>
      <name val="Times New Roman"/>
      <family val="1"/>
    </font>
    <font>
      <sz val="12"/>
      <name val="宋体"/>
      <family val="3"/>
      <charset val="134"/>
    </font>
    <font>
      <b/>
      <sz val="12"/>
      <name val="Times New Roman"/>
      <family val="1"/>
    </font>
    <font>
      <sz val="9"/>
      <name val="宋体"/>
      <family val="3"/>
      <charset val="134"/>
    </font>
    <font>
      <i/>
      <sz val="12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color theme="1"/>
      <name val="Times New Roman"/>
      <family val="1"/>
    </font>
    <font>
      <b/>
      <sz val="12"/>
      <color rgb="FFFF0000"/>
      <name val="Times New Roman"/>
      <family val="1"/>
    </font>
    <font>
      <b/>
      <vertAlign val="superscript"/>
      <sz val="12"/>
      <name val="Times New Roman"/>
      <family val="1"/>
    </font>
    <font>
      <vertAlign val="superscript"/>
      <sz val="11"/>
      <name val="Times New Roman"/>
      <family val="1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2"/>
      <name val="宋体"/>
      <family val="3"/>
      <charset val="134"/>
    </font>
    <font>
      <b/>
      <vertAlign val="superscript"/>
      <sz val="11"/>
      <name val="Times New Roman"/>
      <family val="1"/>
    </font>
  </fonts>
  <fills count="4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ck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</borders>
  <cellStyleXfs count="89">
    <xf numFmtId="0" fontId="0" fillId="0" borderId="0">
      <alignment vertical="center"/>
    </xf>
    <xf numFmtId="0" fontId="9" fillId="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" fillId="0" borderId="0"/>
    <xf numFmtId="0" fontId="9" fillId="0" borderId="0">
      <alignment vertical="center"/>
    </xf>
    <xf numFmtId="0" fontId="16" fillId="21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8" fillId="22" borderId="6" applyNumberFormat="0" applyAlignment="0" applyProtection="0">
      <alignment vertical="center"/>
    </xf>
    <xf numFmtId="0" fontId="19" fillId="23" borderId="7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22" borderId="9" applyNumberFormat="0" applyAlignment="0" applyProtection="0">
      <alignment vertical="center"/>
    </xf>
    <xf numFmtId="0" fontId="25" fillId="31" borderId="6" applyNumberFormat="0" applyAlignment="0" applyProtection="0">
      <alignment vertical="center"/>
    </xf>
    <xf numFmtId="0" fontId="9" fillId="32" borderId="10" applyNumberFormat="0" applyFont="0" applyAlignment="0" applyProtection="0">
      <alignment vertical="center"/>
    </xf>
    <xf numFmtId="0" fontId="31" fillId="0" borderId="2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3" fillId="0" borderId="4" applyNumberFormat="0" applyFill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0" fontId="37" fillId="31" borderId="6" applyNumberFormat="0" applyAlignment="0" applyProtection="0">
      <alignment vertical="center"/>
    </xf>
    <xf numFmtId="0" fontId="38" fillId="22" borderId="9" applyNumberFormat="0" applyAlignment="0" applyProtection="0">
      <alignment vertical="center"/>
    </xf>
    <xf numFmtId="0" fontId="39" fillId="22" borderId="6" applyNumberFormat="0" applyAlignment="0" applyProtection="0">
      <alignment vertical="center"/>
    </xf>
    <xf numFmtId="0" fontId="40" fillId="0" borderId="8" applyNumberFormat="0" applyFill="0" applyAlignment="0" applyProtection="0">
      <alignment vertical="center"/>
    </xf>
    <xf numFmtId="0" fontId="41" fillId="23" borderId="7" applyNumberFormat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4" fillId="0" borderId="5" applyNumberFormat="0" applyFill="0" applyAlignment="0" applyProtection="0">
      <alignment vertical="center"/>
    </xf>
    <xf numFmtId="0" fontId="45" fillId="2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45" fillId="14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45" fillId="15" borderId="0" applyNumberFormat="0" applyBorder="0" applyAlignment="0" applyProtection="0">
      <alignment vertical="center"/>
    </xf>
    <xf numFmtId="0" fontId="45" fillId="2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2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2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46" fillId="0" borderId="0" applyNumberFormat="0" applyFill="0" applyBorder="0" applyAlignment="0" applyProtection="0">
      <alignment vertical="center"/>
    </xf>
    <xf numFmtId="0" fontId="1" fillId="32" borderId="10" applyNumberFormat="0" applyFont="0" applyAlignment="0" applyProtection="0">
      <alignment vertical="center"/>
    </xf>
  </cellStyleXfs>
  <cellXfs count="88">
    <xf numFmtId="0" fontId="0" fillId="0" borderId="0" xfId="0">
      <alignment vertical="center"/>
    </xf>
    <xf numFmtId="0" fontId="26" fillId="0" borderId="0" xfId="0" applyFont="1">
      <alignment vertical="center"/>
    </xf>
    <xf numFmtId="0" fontId="26" fillId="0" borderId="0" xfId="0" applyFont="1" applyAlignment="1">
      <alignment horizontal="center" vertical="center"/>
    </xf>
    <xf numFmtId="0" fontId="26" fillId="0" borderId="0" xfId="0" applyFont="1" applyAlignment="1">
      <alignment vertical="top"/>
    </xf>
    <xf numFmtId="0" fontId="26" fillId="0" borderId="0" xfId="0" applyFont="1" applyAlignment="1">
      <alignment vertical="center" wrapText="1"/>
    </xf>
    <xf numFmtId="0" fontId="2" fillId="0" borderId="0" xfId="28" applyFont="1" applyBorder="1" applyAlignment="1">
      <alignment horizontal="right"/>
    </xf>
    <xf numFmtId="0" fontId="2" fillId="0" borderId="0" xfId="28" applyFont="1" applyBorder="1" applyAlignment="1">
      <alignment horizontal="right" vertical="center"/>
    </xf>
    <xf numFmtId="176" fontId="4" fillId="0" borderId="0" xfId="0" applyNumberFormat="1" applyFont="1" applyBorder="1" applyAlignment="1">
      <alignment horizontal="center" wrapText="1"/>
    </xf>
    <xf numFmtId="0" fontId="6" fillId="0" borderId="0" xfId="28" applyFont="1" applyBorder="1" applyAlignment="1">
      <alignment horizontal="left" vertical="center" wrapText="1"/>
    </xf>
    <xf numFmtId="0" fontId="7" fillId="0" borderId="0" xfId="0" applyFont="1">
      <alignment vertical="center"/>
    </xf>
    <xf numFmtId="0" fontId="27" fillId="0" borderId="0" xfId="29" applyFont="1">
      <alignment vertical="center"/>
    </xf>
    <xf numFmtId="0" fontId="26" fillId="0" borderId="0" xfId="0" applyFont="1">
      <alignment vertical="center"/>
    </xf>
    <xf numFmtId="176" fontId="28" fillId="0" borderId="0" xfId="0" applyNumberFormat="1" applyFont="1" applyBorder="1" applyAlignment="1">
      <alignment horizontal="center" wrapText="1"/>
    </xf>
    <xf numFmtId="0" fontId="26" fillId="0" borderId="0" xfId="0" applyFont="1" applyAlignment="1"/>
    <xf numFmtId="0" fontId="2" fillId="0" borderId="0" xfId="28" applyFont="1" applyBorder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178" fontId="26" fillId="0" borderId="0" xfId="0" applyNumberFormat="1" applyFont="1">
      <alignment vertical="center"/>
    </xf>
    <xf numFmtId="0" fontId="8" fillId="0" borderId="0" xfId="0" applyFont="1" applyAlignment="1">
      <alignment horizontal="left" vertical="center"/>
    </xf>
    <xf numFmtId="0" fontId="26" fillId="0" borderId="0" xfId="0" applyFont="1" applyAlignment="1">
      <alignment horizontal="left" vertical="center"/>
    </xf>
    <xf numFmtId="0" fontId="26" fillId="0" borderId="0" xfId="0" applyFont="1" applyAlignment="1">
      <alignment horizontal="left" vertical="center" wrapText="1"/>
    </xf>
    <xf numFmtId="178" fontId="26" fillId="0" borderId="0" xfId="0" applyNumberFormat="1" applyFont="1" applyAlignment="1">
      <alignment horizontal="left" vertical="center"/>
    </xf>
    <xf numFmtId="176" fontId="4" fillId="0" borderId="0" xfId="0" applyNumberFormat="1" applyFont="1" applyBorder="1" applyAlignment="1">
      <alignment horizontal="left" vertical="center" wrapText="1"/>
    </xf>
    <xf numFmtId="0" fontId="2" fillId="0" borderId="0" xfId="28" applyFont="1" applyFill="1" applyBorder="1" applyAlignment="1">
      <alignment horizontal="left" vertical="center"/>
    </xf>
    <xf numFmtId="176" fontId="4" fillId="0" borderId="0" xfId="0" applyNumberFormat="1" applyFont="1" applyBorder="1" applyAlignment="1">
      <alignment horizontal="left" wrapText="1"/>
    </xf>
    <xf numFmtId="0" fontId="2" fillId="33" borderId="0" xfId="28" applyFont="1" applyFill="1" applyBorder="1" applyAlignment="1">
      <alignment horizontal="left" vertical="center"/>
    </xf>
    <xf numFmtId="0" fontId="2" fillId="34" borderId="0" xfId="28" applyFont="1" applyFill="1" applyBorder="1" applyAlignment="1">
      <alignment horizontal="left" vertical="center"/>
    </xf>
    <xf numFmtId="0" fontId="2" fillId="35" borderId="0" xfId="28" applyFont="1" applyFill="1" applyBorder="1" applyAlignment="1">
      <alignment horizontal="left" vertical="center"/>
    </xf>
    <xf numFmtId="0" fontId="2" fillId="0" borderId="0" xfId="28" applyFont="1" applyBorder="1" applyAlignment="1">
      <alignment horizontal="left" vertical="center" wrapText="1"/>
    </xf>
    <xf numFmtId="177" fontId="2" fillId="0" borderId="0" xfId="28" applyNumberFormat="1" applyFont="1" applyBorder="1" applyAlignment="1">
      <alignment horizontal="left" vertical="center"/>
    </xf>
    <xf numFmtId="0" fontId="7" fillId="0" borderId="0" xfId="0" applyFont="1" applyAlignment="1">
      <alignment horizontal="left" vertical="center"/>
    </xf>
    <xf numFmtId="176" fontId="26" fillId="0" borderId="0" xfId="0" applyNumberFormat="1" applyFont="1" applyAlignment="1">
      <alignment horizontal="left" vertical="center"/>
    </xf>
    <xf numFmtId="0" fontId="26" fillId="0" borderId="0" xfId="0" applyFont="1" applyAlignment="1">
      <alignment horizontal="left" vertical="top"/>
    </xf>
    <xf numFmtId="0" fontId="26" fillId="0" borderId="0" xfId="0" applyFont="1" applyAlignment="1">
      <alignment horizontal="left"/>
    </xf>
    <xf numFmtId="178" fontId="4" fillId="0" borderId="12" xfId="28" applyNumberFormat="1" applyFont="1" applyBorder="1" applyAlignment="1">
      <alignment horizontal="left" vertical="center" wrapText="1"/>
    </xf>
    <xf numFmtId="0" fontId="26" fillId="0" borderId="0" xfId="0" applyFont="1" applyFill="1" applyAlignment="1">
      <alignment horizontal="left" vertical="center"/>
    </xf>
    <xf numFmtId="176" fontId="2" fillId="0" borderId="0" xfId="0" applyNumberFormat="1" applyFont="1" applyFill="1" applyBorder="1" applyAlignment="1">
      <alignment horizontal="left" vertical="center" wrapText="1"/>
    </xf>
    <xf numFmtId="176" fontId="4" fillId="0" borderId="0" xfId="0" applyNumberFormat="1" applyFont="1" applyFill="1" applyBorder="1" applyAlignment="1">
      <alignment horizontal="center" wrapText="1"/>
    </xf>
    <xf numFmtId="176" fontId="28" fillId="0" borderId="0" xfId="0" applyNumberFormat="1" applyFont="1" applyFill="1" applyBorder="1" applyAlignment="1">
      <alignment horizontal="center" wrapText="1"/>
    </xf>
    <xf numFmtId="0" fontId="26" fillId="0" borderId="0" xfId="0" applyFont="1" applyFill="1">
      <alignment vertical="center"/>
    </xf>
    <xf numFmtId="178" fontId="4" fillId="0" borderId="11" xfId="28" applyNumberFormat="1" applyFont="1" applyFill="1" applyBorder="1" applyAlignment="1">
      <alignment horizontal="left" vertical="center" wrapText="1"/>
    </xf>
    <xf numFmtId="0" fontId="26" fillId="0" borderId="0" xfId="0" applyFont="1" applyFill="1" applyBorder="1" applyAlignment="1">
      <alignment horizontal="left" vertical="center"/>
    </xf>
    <xf numFmtId="176" fontId="2" fillId="42" borderId="15" xfId="0" applyNumberFormat="1" applyFont="1" applyFill="1" applyBorder="1" applyAlignment="1">
      <alignment horizontal="left" vertical="center" wrapText="1"/>
    </xf>
    <xf numFmtId="176" fontId="2" fillId="42" borderId="16" xfId="0" applyNumberFormat="1" applyFont="1" applyFill="1" applyBorder="1" applyAlignment="1">
      <alignment horizontal="left" vertical="center" wrapText="1"/>
    </xf>
    <xf numFmtId="0" fontId="26" fillId="0" borderId="1" xfId="0" applyFont="1" applyBorder="1">
      <alignment vertical="center"/>
    </xf>
    <xf numFmtId="176" fontId="26" fillId="0" borderId="0" xfId="0" applyNumberFormat="1" applyFont="1">
      <alignment vertical="center"/>
    </xf>
    <xf numFmtId="178" fontId="2" fillId="42" borderId="16" xfId="0" applyNumberFormat="1" applyFont="1" applyFill="1" applyBorder="1" applyAlignment="1">
      <alignment horizontal="left" vertical="center" wrapText="1"/>
    </xf>
    <xf numFmtId="178" fontId="2" fillId="42" borderId="15" xfId="0" applyNumberFormat="1" applyFont="1" applyFill="1" applyBorder="1" applyAlignment="1">
      <alignment horizontal="left" vertical="center" wrapText="1"/>
    </xf>
    <xf numFmtId="176" fontId="4" fillId="0" borderId="12" xfId="28" applyNumberFormat="1" applyFont="1" applyBorder="1" applyAlignment="1">
      <alignment horizontal="left" vertical="center" wrapText="1"/>
    </xf>
    <xf numFmtId="0" fontId="26" fillId="0" borderId="0" xfId="0" applyNumberFormat="1" applyFont="1">
      <alignment vertical="center"/>
    </xf>
    <xf numFmtId="176" fontId="2" fillId="43" borderId="15" xfId="0" applyNumberFormat="1" applyFont="1" applyFill="1" applyBorder="1" applyAlignment="1">
      <alignment horizontal="left" vertical="center" wrapText="1"/>
    </xf>
    <xf numFmtId="178" fontId="2" fillId="43" borderId="15" xfId="0" applyNumberFormat="1" applyFont="1" applyFill="1" applyBorder="1" applyAlignment="1">
      <alignment horizontal="left" vertical="center" wrapText="1"/>
    </xf>
    <xf numFmtId="176" fontId="2" fillId="43" borderId="16" xfId="0" applyNumberFormat="1" applyFont="1" applyFill="1" applyBorder="1" applyAlignment="1">
      <alignment horizontal="left" vertical="center" wrapText="1"/>
    </xf>
    <xf numFmtId="178" fontId="2" fillId="0" borderId="15" xfId="0" applyNumberFormat="1" applyFont="1" applyFill="1" applyBorder="1" applyAlignment="1">
      <alignment horizontal="left" vertical="center" wrapText="1"/>
    </xf>
    <xf numFmtId="11" fontId="2" fillId="0" borderId="15" xfId="0" applyNumberFormat="1" applyFont="1" applyFill="1" applyBorder="1" applyAlignment="1">
      <alignment horizontal="left" vertical="center" wrapText="1"/>
    </xf>
    <xf numFmtId="176" fontId="2" fillId="0" borderId="16" xfId="0" applyNumberFormat="1" applyFont="1" applyFill="1" applyBorder="1" applyAlignment="1">
      <alignment horizontal="left" vertical="center" wrapText="1"/>
    </xf>
    <xf numFmtId="11" fontId="2" fillId="0" borderId="16" xfId="0" applyNumberFormat="1" applyFont="1" applyFill="1" applyBorder="1" applyAlignment="1">
      <alignment horizontal="left" vertical="center" wrapText="1"/>
    </xf>
    <xf numFmtId="178" fontId="2" fillId="44" borderId="15" xfId="0" applyNumberFormat="1" applyFont="1" applyFill="1" applyBorder="1" applyAlignment="1">
      <alignment horizontal="left" vertical="center" wrapText="1"/>
    </xf>
    <xf numFmtId="178" fontId="2" fillId="44" borderId="16" xfId="0" applyNumberFormat="1" applyFont="1" applyFill="1" applyBorder="1" applyAlignment="1">
      <alignment horizontal="left" vertical="center" wrapText="1"/>
    </xf>
    <xf numFmtId="0" fontId="2" fillId="0" borderId="15" xfId="0" applyNumberFormat="1" applyFont="1" applyFill="1" applyBorder="1" applyAlignment="1">
      <alignment horizontal="left" vertical="center" wrapText="1"/>
    </xf>
    <xf numFmtId="178" fontId="2" fillId="0" borderId="16" xfId="0" applyNumberFormat="1" applyFont="1" applyFill="1" applyBorder="1" applyAlignment="1">
      <alignment horizontal="left" vertical="center" wrapText="1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2" fillId="37" borderId="0" xfId="28" applyFont="1" applyFill="1" applyBorder="1" applyAlignment="1">
      <alignment horizontal="left" vertical="center"/>
    </xf>
    <xf numFmtId="0" fontId="4" fillId="0" borderId="13" xfId="28" applyFont="1" applyBorder="1" applyAlignment="1">
      <alignment horizontal="center" vertical="center"/>
    </xf>
    <xf numFmtId="0" fontId="4" fillId="0" borderId="0" xfId="28" applyFont="1" applyBorder="1" applyAlignment="1">
      <alignment horizontal="center" vertical="center"/>
    </xf>
    <xf numFmtId="0" fontId="4" fillId="0" borderId="11" xfId="28" applyFont="1" applyBorder="1" applyAlignment="1">
      <alignment horizontal="center" vertical="center"/>
    </xf>
    <xf numFmtId="0" fontId="4" fillId="0" borderId="13" xfId="28" applyFont="1" applyBorder="1" applyAlignment="1">
      <alignment horizontal="center" vertical="center" wrapText="1"/>
    </xf>
    <xf numFmtId="0" fontId="4" fillId="0" borderId="0" xfId="28" applyFont="1" applyBorder="1" applyAlignment="1">
      <alignment horizontal="center" vertical="center" wrapText="1"/>
    </xf>
    <xf numFmtId="0" fontId="4" fillId="0" borderId="11" xfId="28" applyFont="1" applyBorder="1" applyAlignment="1">
      <alignment horizontal="center" vertical="center" wrapText="1"/>
    </xf>
    <xf numFmtId="176" fontId="4" fillId="0" borderId="0" xfId="28" applyNumberFormat="1" applyFont="1" applyBorder="1" applyAlignment="1">
      <alignment horizontal="center" vertical="center" wrapText="1"/>
    </xf>
    <xf numFmtId="176" fontId="4" fillId="0" borderId="11" xfId="28" applyNumberFormat="1" applyFont="1" applyBorder="1" applyAlignment="1">
      <alignment horizontal="center" vertical="center" wrapText="1"/>
    </xf>
    <xf numFmtId="0" fontId="2" fillId="33" borderId="0" xfId="28" applyFont="1" applyFill="1" applyBorder="1" applyAlignment="1">
      <alignment horizontal="left" vertical="center"/>
    </xf>
    <xf numFmtId="0" fontId="7" fillId="0" borderId="1" xfId="0" applyFont="1" applyBorder="1" applyAlignment="1">
      <alignment horizontal="center" vertical="center"/>
    </xf>
    <xf numFmtId="0" fontId="2" fillId="41" borderId="0" xfId="28" applyFont="1" applyFill="1" applyBorder="1" applyAlignment="1">
      <alignment horizontal="left" vertical="center"/>
    </xf>
    <xf numFmtId="0" fontId="2" fillId="36" borderId="0" xfId="28" applyFont="1" applyFill="1" applyBorder="1" applyAlignment="1">
      <alignment horizontal="left" vertical="center"/>
    </xf>
    <xf numFmtId="0" fontId="2" fillId="38" borderId="0" xfId="28" applyFont="1" applyFill="1" applyBorder="1" applyAlignment="1">
      <alignment horizontal="left" vertical="center"/>
    </xf>
    <xf numFmtId="0" fontId="2" fillId="40" borderId="0" xfId="28" applyFont="1" applyFill="1" applyBorder="1" applyAlignment="1">
      <alignment horizontal="left" vertical="center"/>
    </xf>
    <xf numFmtId="0" fontId="2" fillId="39" borderId="0" xfId="28" applyFont="1" applyFill="1" applyBorder="1" applyAlignment="1">
      <alignment horizontal="left" vertical="center"/>
    </xf>
    <xf numFmtId="0" fontId="4" fillId="0" borderId="0" xfId="28" applyNumberFormat="1" applyFont="1" applyBorder="1" applyAlignment="1">
      <alignment horizontal="center" vertical="center" wrapText="1"/>
    </xf>
    <xf numFmtId="0" fontId="4" fillId="0" borderId="11" xfId="28" applyNumberFormat="1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178" fontId="4" fillId="0" borderId="14" xfId="28" applyNumberFormat="1" applyFont="1" applyBorder="1" applyAlignment="1">
      <alignment horizontal="center" vertical="center" wrapText="1"/>
    </xf>
    <xf numFmtId="178" fontId="4" fillId="0" borderId="11" xfId="28" applyNumberFormat="1" applyFont="1" applyBorder="1" applyAlignment="1">
      <alignment horizontal="center" vertical="center" wrapText="1"/>
    </xf>
    <xf numFmtId="176" fontId="4" fillId="0" borderId="14" xfId="28" applyNumberFormat="1" applyFont="1" applyBorder="1" applyAlignment="1">
      <alignment horizontal="center" vertical="center" wrapText="1"/>
    </xf>
    <xf numFmtId="0" fontId="4" fillId="0" borderId="14" xfId="28" applyNumberFormat="1" applyFont="1" applyBorder="1" applyAlignment="1">
      <alignment horizontal="center" vertical="center" wrapText="1"/>
    </xf>
    <xf numFmtId="0" fontId="8" fillId="0" borderId="0" xfId="0" applyFont="1">
      <alignment vertical="center"/>
    </xf>
    <xf numFmtId="176" fontId="2" fillId="0" borderId="0" xfId="0" applyNumberFormat="1" applyFont="1" applyBorder="1" applyAlignment="1">
      <alignment horizontal="center" wrapText="1"/>
    </xf>
    <xf numFmtId="11" fontId="2" fillId="0" borderId="0" xfId="0" applyNumberFormat="1" applyFont="1" applyFill="1" applyBorder="1" applyAlignment="1">
      <alignment horizontal="center" vertical="center" wrapText="1"/>
    </xf>
  </cellXfs>
  <cellStyles count="89">
    <cellStyle name="20% - 强调文字颜色 1" xfId="63" builtinId="30" customBuiltin="1"/>
    <cellStyle name="20% - 强调文字颜色 1 2" xfId="1"/>
    <cellStyle name="20% - 强调文字颜色 2" xfId="67" builtinId="34" customBuiltin="1"/>
    <cellStyle name="20% - 强调文字颜色 2 2" xfId="2"/>
    <cellStyle name="20% - 强调文字颜色 3" xfId="71" builtinId="38" customBuiltin="1"/>
    <cellStyle name="20% - 强调文字颜色 3 2" xfId="3"/>
    <cellStyle name="20% - 强调文字颜色 4" xfId="75" builtinId="42" customBuiltin="1"/>
    <cellStyle name="20% - 强调文字颜色 4 2" xfId="4"/>
    <cellStyle name="20% - 强调文字颜色 5" xfId="79" builtinId="46" customBuiltin="1"/>
    <cellStyle name="20% - 强调文字颜色 5 2" xfId="5"/>
    <cellStyle name="20% - 强调文字颜色 6" xfId="83" builtinId="50" customBuiltin="1"/>
    <cellStyle name="20% - 强调文字颜色 6 2" xfId="6"/>
    <cellStyle name="40% - 强调文字颜色 1" xfId="64" builtinId="31" customBuiltin="1"/>
    <cellStyle name="40% - 强调文字颜色 1 2" xfId="7"/>
    <cellStyle name="40% - 强调文字颜色 2" xfId="68" builtinId="35" customBuiltin="1"/>
    <cellStyle name="40% - 强调文字颜色 2 2" xfId="8"/>
    <cellStyle name="40% - 强调文字颜色 3" xfId="72" builtinId="39" customBuiltin="1"/>
    <cellStyle name="40% - 强调文字颜色 3 2" xfId="9"/>
    <cellStyle name="40% - 强调文字颜色 4" xfId="76" builtinId="43" customBuiltin="1"/>
    <cellStyle name="40% - 强调文字颜色 4 2" xfId="10"/>
    <cellStyle name="40% - 强调文字颜色 5" xfId="80" builtinId="47" customBuiltin="1"/>
    <cellStyle name="40% - 强调文字颜色 5 2" xfId="11"/>
    <cellStyle name="40% - 强调文字颜色 6" xfId="84" builtinId="51" customBuiltin="1"/>
    <cellStyle name="40% - 强调文字颜色 6 2" xfId="12"/>
    <cellStyle name="60% - 强调文字颜色 1" xfId="65" builtinId="32" customBuiltin="1"/>
    <cellStyle name="60% - 强调文字颜色 1 2" xfId="13"/>
    <cellStyle name="60% - 强调文字颜色 2" xfId="69" builtinId="36" customBuiltin="1"/>
    <cellStyle name="60% - 强调文字颜色 2 2" xfId="14"/>
    <cellStyle name="60% - 强调文字颜色 3" xfId="73" builtinId="40" customBuiltin="1"/>
    <cellStyle name="60% - 强调文字颜色 3 2" xfId="15"/>
    <cellStyle name="60% - 强调文字颜色 4" xfId="77" builtinId="44" customBuiltin="1"/>
    <cellStyle name="60% - 强调文字颜色 4 2" xfId="16"/>
    <cellStyle name="60% - 强调文字颜色 5" xfId="81" builtinId="48" customBuiltin="1"/>
    <cellStyle name="60% - 强调文字颜色 5 2" xfId="17"/>
    <cellStyle name="60% - 强调文字颜色 6" xfId="85" builtinId="52" customBuiltin="1"/>
    <cellStyle name="60% - 强调文字颜色 6 2" xfId="18"/>
    <cellStyle name="标题 1" xfId="47" builtinId="16" customBuiltin="1"/>
    <cellStyle name="标题 1 2" xfId="19"/>
    <cellStyle name="标题 2" xfId="48" builtinId="17" customBuiltin="1"/>
    <cellStyle name="标题 2 2" xfId="20"/>
    <cellStyle name="标题 3" xfId="49" builtinId="18" customBuiltin="1"/>
    <cellStyle name="标题 3 2" xfId="21"/>
    <cellStyle name="标题 4" xfId="50" builtinId="19" customBuiltin="1"/>
    <cellStyle name="标题 4 2" xfId="22"/>
    <cellStyle name="标题 5" xfId="23"/>
    <cellStyle name="标题 6" xfId="87"/>
    <cellStyle name="差" xfId="52" builtinId="27" customBuiltin="1"/>
    <cellStyle name="差 2" xfId="24"/>
    <cellStyle name="常规" xfId="0" builtinId="0"/>
    <cellStyle name="常规 2" xfId="25"/>
    <cellStyle name="常规 3" xfId="26"/>
    <cellStyle name="常规 4" xfId="27"/>
    <cellStyle name="常规 5" xfId="28"/>
    <cellStyle name="常规 6" xfId="29"/>
    <cellStyle name="常规 7" xfId="86"/>
    <cellStyle name="好" xfId="51" builtinId="26" customBuiltin="1"/>
    <cellStyle name="好 2" xfId="30"/>
    <cellStyle name="汇总" xfId="61" builtinId="25" customBuiltin="1"/>
    <cellStyle name="汇总 2" xfId="31"/>
    <cellStyle name="计算" xfId="56" builtinId="22" customBuiltin="1"/>
    <cellStyle name="计算 2" xfId="32"/>
    <cellStyle name="检查单元格" xfId="58" builtinId="23" customBuiltin="1"/>
    <cellStyle name="检查单元格 2" xfId="33"/>
    <cellStyle name="解释性文本" xfId="60" builtinId="53" customBuiltin="1"/>
    <cellStyle name="解释性文本 2" xfId="34"/>
    <cellStyle name="警告文本" xfId="59" builtinId="11" customBuiltin="1"/>
    <cellStyle name="警告文本 2" xfId="35"/>
    <cellStyle name="链接单元格" xfId="57" builtinId="24" customBuiltin="1"/>
    <cellStyle name="链接单元格 2" xfId="36"/>
    <cellStyle name="强调文字颜色 1" xfId="62" builtinId="29" customBuiltin="1"/>
    <cellStyle name="强调文字颜色 1 2" xfId="37"/>
    <cellStyle name="强调文字颜色 2" xfId="66" builtinId="33" customBuiltin="1"/>
    <cellStyle name="强调文字颜色 2 2" xfId="38"/>
    <cellStyle name="强调文字颜色 3" xfId="70" builtinId="37" customBuiltin="1"/>
    <cellStyle name="强调文字颜色 3 2" xfId="39"/>
    <cellStyle name="强调文字颜色 4" xfId="74" builtinId="41" customBuiltin="1"/>
    <cellStyle name="强调文字颜色 4 2" xfId="40"/>
    <cellStyle name="强调文字颜色 5" xfId="78" builtinId="45" customBuiltin="1"/>
    <cellStyle name="强调文字颜色 5 2" xfId="41"/>
    <cellStyle name="强调文字颜色 6" xfId="82" builtinId="49" customBuiltin="1"/>
    <cellStyle name="强调文字颜色 6 2" xfId="42"/>
    <cellStyle name="适中" xfId="53" builtinId="28" customBuiltin="1"/>
    <cellStyle name="适中 2" xfId="43"/>
    <cellStyle name="输出" xfId="55" builtinId="21" customBuiltin="1"/>
    <cellStyle name="输出 2" xfId="44"/>
    <cellStyle name="输入" xfId="54" builtinId="20" customBuiltin="1"/>
    <cellStyle name="输入 2" xfId="45"/>
    <cellStyle name="注释 2" xfId="46"/>
    <cellStyle name="注释 3" xfId="8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G110"/>
  <sheetViews>
    <sheetView tabSelected="1" workbookViewId="0">
      <pane xSplit="5" ySplit="5" topLeftCell="F6" activePane="bottomRight" state="frozen"/>
      <selection pane="topRight" activeCell="G1" sqref="G1"/>
      <selection pane="bottomLeft" activeCell="A5" sqref="A5"/>
      <selection pane="bottomRight" activeCell="AB4" sqref="AB4:AB5"/>
    </sheetView>
  </sheetViews>
  <sheetFormatPr defaultRowHeight="13.5"/>
  <cols>
    <col min="1" max="1" width="9" style="1"/>
    <col min="2" max="3" width="10.375" style="3" bestFit="1" customWidth="1"/>
    <col min="4" max="4" width="9" style="1"/>
    <col min="5" max="5" width="16.125" style="4" customWidth="1"/>
    <col min="6" max="6" width="11.25" style="1" customWidth="1"/>
    <col min="7" max="7" width="12.125" style="1" bestFit="1" customWidth="1"/>
    <col min="8" max="8" width="9.25" style="13" customWidth="1"/>
    <col min="9" max="10" width="10.5" style="1" bestFit="1" customWidth="1"/>
    <col min="11" max="11" width="6.625" style="1" bestFit="1" customWidth="1"/>
    <col min="12" max="12" width="10.125" style="1" customWidth="1"/>
    <col min="13" max="13" width="10.25" style="11" customWidth="1"/>
    <col min="14" max="14" width="9.875" style="11" customWidth="1"/>
    <col min="15" max="16" width="9.75" style="11" customWidth="1"/>
    <col min="17" max="17" width="9.5" style="38" customWidth="1"/>
    <col min="18" max="18" width="10.125" style="38" customWidth="1"/>
    <col min="19" max="19" width="11.375" style="38" customWidth="1"/>
    <col min="20" max="20" width="1.875" style="38" customWidth="1"/>
    <col min="21" max="21" width="10.375" style="16" customWidth="1"/>
    <col min="22" max="22" width="10.625" style="1" customWidth="1"/>
    <col min="23" max="26" width="10.625" style="44" customWidth="1"/>
    <col min="27" max="27" width="9.5" style="44" customWidth="1"/>
    <col min="28" max="28" width="11" style="48" customWidth="1"/>
    <col min="29" max="29" width="23.5" style="1" customWidth="1"/>
    <col min="30" max="16384" width="9" style="1"/>
  </cols>
  <sheetData>
    <row r="1" spans="1:59" s="11" customFormat="1" ht="14.25" customHeight="1" thickBot="1">
      <c r="A1" s="17" t="s">
        <v>214</v>
      </c>
      <c r="B1" s="18"/>
      <c r="C1" s="18"/>
      <c r="D1" s="18"/>
      <c r="E1" s="19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34"/>
      <c r="R1" s="34"/>
      <c r="S1" s="34"/>
      <c r="T1" s="34"/>
      <c r="U1" s="20"/>
      <c r="V1" s="18"/>
      <c r="W1" s="30"/>
      <c r="X1" s="30"/>
      <c r="Y1" s="30"/>
      <c r="Z1" s="30"/>
      <c r="AA1" s="30"/>
      <c r="AB1" s="48"/>
    </row>
    <row r="2" spans="1:59" s="11" customFormat="1" ht="23.25" customHeight="1" thickTop="1">
      <c r="A2" s="63" t="s">
        <v>182</v>
      </c>
      <c r="B2" s="63"/>
      <c r="C2" s="63"/>
      <c r="D2" s="63" t="s">
        <v>199</v>
      </c>
      <c r="E2" s="66" t="s">
        <v>79</v>
      </c>
      <c r="F2" s="63" t="s">
        <v>173</v>
      </c>
      <c r="G2" s="63" t="s">
        <v>80</v>
      </c>
      <c r="H2" s="66" t="s">
        <v>144</v>
      </c>
      <c r="I2" s="63" t="s">
        <v>5</v>
      </c>
      <c r="J2" s="63" t="s">
        <v>6</v>
      </c>
      <c r="K2" s="63" t="s">
        <v>81</v>
      </c>
      <c r="L2" s="61" t="s">
        <v>200</v>
      </c>
      <c r="M2" s="61"/>
      <c r="N2" s="61"/>
      <c r="O2" s="61"/>
      <c r="P2" s="61"/>
      <c r="Q2" s="61"/>
      <c r="R2" s="61"/>
      <c r="S2" s="61"/>
      <c r="T2" s="61"/>
      <c r="U2" s="61"/>
      <c r="V2" s="61"/>
      <c r="W2" s="61"/>
      <c r="X2" s="61"/>
      <c r="Y2" s="61"/>
      <c r="Z2" s="61"/>
      <c r="AA2" s="61"/>
      <c r="AB2" s="61"/>
    </row>
    <row r="3" spans="1:59" s="11" customFormat="1" ht="23.25" customHeight="1">
      <c r="A3" s="64"/>
      <c r="B3" s="64"/>
      <c r="C3" s="64"/>
      <c r="D3" s="64"/>
      <c r="E3" s="67"/>
      <c r="F3" s="64"/>
      <c r="G3" s="64"/>
      <c r="H3" s="67"/>
      <c r="I3" s="64"/>
      <c r="J3" s="64"/>
      <c r="K3" s="64"/>
      <c r="L3" s="60" t="s">
        <v>192</v>
      </c>
      <c r="M3" s="60"/>
      <c r="N3" s="60"/>
      <c r="O3" s="60"/>
      <c r="P3" s="60"/>
      <c r="Q3" s="60"/>
      <c r="R3" s="60"/>
      <c r="S3" s="60"/>
      <c r="T3" s="40"/>
      <c r="U3" s="60" t="s">
        <v>202</v>
      </c>
      <c r="V3" s="60"/>
      <c r="W3" s="60"/>
      <c r="X3" s="60"/>
      <c r="Y3" s="60"/>
      <c r="Z3" s="60"/>
      <c r="AA3" s="60"/>
      <c r="AB3" s="60"/>
    </row>
    <row r="4" spans="1:59" s="11" customFormat="1" ht="23.25" customHeight="1">
      <c r="A4" s="64"/>
      <c r="B4" s="64"/>
      <c r="C4" s="64"/>
      <c r="D4" s="64"/>
      <c r="E4" s="67"/>
      <c r="F4" s="64"/>
      <c r="G4" s="64"/>
      <c r="H4" s="67"/>
      <c r="I4" s="64"/>
      <c r="J4" s="64"/>
      <c r="K4" s="64"/>
      <c r="L4" s="67" t="s">
        <v>207</v>
      </c>
      <c r="M4" s="80" t="s">
        <v>204</v>
      </c>
      <c r="N4" s="80"/>
      <c r="O4" s="80"/>
      <c r="P4" s="80"/>
      <c r="Q4" s="80"/>
      <c r="R4" s="69" t="s">
        <v>208</v>
      </c>
      <c r="S4" s="78" t="s">
        <v>229</v>
      </c>
      <c r="T4" s="40"/>
      <c r="U4" s="81" t="s">
        <v>209</v>
      </c>
      <c r="V4" s="60" t="s">
        <v>210</v>
      </c>
      <c r="W4" s="60"/>
      <c r="X4" s="60"/>
      <c r="Y4" s="60"/>
      <c r="Z4" s="60"/>
      <c r="AA4" s="83" t="s">
        <v>203</v>
      </c>
      <c r="AB4" s="84" t="s">
        <v>230</v>
      </c>
    </row>
    <row r="5" spans="1:59" s="2" customFormat="1" ht="34.5">
      <c r="A5" s="65"/>
      <c r="B5" s="65"/>
      <c r="C5" s="65"/>
      <c r="D5" s="65"/>
      <c r="E5" s="68"/>
      <c r="F5" s="65"/>
      <c r="G5" s="65"/>
      <c r="H5" s="68"/>
      <c r="I5" s="65"/>
      <c r="J5" s="65"/>
      <c r="K5" s="65"/>
      <c r="L5" s="68"/>
      <c r="M5" s="33" t="s">
        <v>205</v>
      </c>
      <c r="N5" s="47" t="s">
        <v>215</v>
      </c>
      <c r="O5" s="47" t="s">
        <v>216</v>
      </c>
      <c r="P5" s="47" t="s">
        <v>217</v>
      </c>
      <c r="Q5" s="47" t="s">
        <v>218</v>
      </c>
      <c r="R5" s="70"/>
      <c r="S5" s="79"/>
      <c r="T5" s="39"/>
      <c r="U5" s="82"/>
      <c r="V5" s="33" t="s">
        <v>206</v>
      </c>
      <c r="W5" s="47" t="s">
        <v>215</v>
      </c>
      <c r="X5" s="47" t="s">
        <v>216</v>
      </c>
      <c r="Y5" s="47" t="s">
        <v>217</v>
      </c>
      <c r="Z5" s="47" t="s">
        <v>218</v>
      </c>
      <c r="AA5" s="70"/>
      <c r="AB5" s="79"/>
    </row>
    <row r="6" spans="1:59" ht="15.75" customHeight="1">
      <c r="A6" s="73" t="s">
        <v>76</v>
      </c>
      <c r="B6" s="62" t="s">
        <v>77</v>
      </c>
      <c r="C6" s="71" t="s">
        <v>78</v>
      </c>
      <c r="D6" s="14" t="s">
        <v>220</v>
      </c>
      <c r="E6" s="8" t="s">
        <v>181</v>
      </c>
      <c r="F6" s="14" t="s">
        <v>82</v>
      </c>
      <c r="G6" s="14" t="s">
        <v>7</v>
      </c>
      <c r="H6" s="14">
        <v>3099.37</v>
      </c>
      <c r="I6" s="14">
        <v>144822</v>
      </c>
      <c r="J6" s="14">
        <v>231384</v>
      </c>
      <c r="K6" s="14">
        <v>86563</v>
      </c>
      <c r="L6" s="41">
        <f>40210/K6*100</f>
        <v>46.45171724639858</v>
      </c>
      <c r="M6" s="49">
        <f>30956/K6*100</f>
        <v>35.761237480216721</v>
      </c>
      <c r="N6" s="50">
        <v>35.224060000000001</v>
      </c>
      <c r="O6" s="50">
        <v>35.215969999999999</v>
      </c>
      <c r="P6" s="50">
        <v>34.861310000000003</v>
      </c>
      <c r="Q6" s="50">
        <v>35.566000000000003</v>
      </c>
      <c r="R6" s="52">
        <f>(L6*5-SUM(M6:Q6))/5</f>
        <v>11.126001750355233</v>
      </c>
      <c r="S6" s="53">
        <v>1.15E-7</v>
      </c>
      <c r="T6" s="35"/>
      <c r="U6" s="56">
        <f>5098/K6*100</f>
        <v>5.8893522636692346</v>
      </c>
      <c r="V6" s="46">
        <f>1885/K6*100</f>
        <v>2.1776047502974714</v>
      </c>
      <c r="W6" s="46">
        <v>2.0643919999999998</v>
      </c>
      <c r="X6" s="46">
        <v>2.0147179999999998</v>
      </c>
      <c r="Y6" s="46">
        <v>2.1337060000000001</v>
      </c>
      <c r="Z6" s="46">
        <v>2.184536</v>
      </c>
      <c r="AA6" s="52">
        <f>(U6*5-SUM(V6:Z6))/5</f>
        <v>3.7743609136097405</v>
      </c>
      <c r="AB6" s="58">
        <v>1.74E-8</v>
      </c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6"/>
      <c r="AS6" s="6"/>
      <c r="AT6" s="6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</row>
    <row r="7" spans="1:59" ht="15.75">
      <c r="A7" s="73"/>
      <c r="B7" s="62"/>
      <c r="C7" s="71"/>
      <c r="D7" s="14" t="s">
        <v>221</v>
      </c>
      <c r="E7" s="8" t="s">
        <v>8</v>
      </c>
      <c r="F7" s="14" t="s">
        <v>83</v>
      </c>
      <c r="G7" s="14" t="s">
        <v>9</v>
      </c>
      <c r="H7" s="14">
        <v>3323.27</v>
      </c>
      <c r="I7" s="14">
        <v>284709</v>
      </c>
      <c r="J7" s="14">
        <v>368786</v>
      </c>
      <c r="K7" s="14">
        <v>84078</v>
      </c>
      <c r="L7" s="41">
        <f>38029/K7*100</f>
        <v>45.230619186945454</v>
      </c>
      <c r="M7" s="49">
        <f>30260/K7*100</f>
        <v>35.990389876067461</v>
      </c>
      <c r="N7" s="50">
        <v>35.67521</v>
      </c>
      <c r="O7" s="50">
        <v>35.546750000000003</v>
      </c>
      <c r="P7" s="50">
        <v>35.618119999999998</v>
      </c>
      <c r="Q7" s="50">
        <v>35.506320000000002</v>
      </c>
      <c r="R7" s="52">
        <f t="shared" ref="R7:R55" si="0">(L7*5-SUM(M7:Q7))/5</f>
        <v>9.5632612117319589</v>
      </c>
      <c r="S7" s="53">
        <v>1.9399999999999998E-8</v>
      </c>
      <c r="T7" s="35"/>
      <c r="U7" s="56">
        <f>3980/K7*100</f>
        <v>4.7336996598396723</v>
      </c>
      <c r="V7" s="46">
        <f>1590/K7*100</f>
        <v>1.8911011203882111</v>
      </c>
      <c r="W7" s="46">
        <v>1.8173600000000001</v>
      </c>
      <c r="X7" s="46">
        <v>2.1729820000000002</v>
      </c>
      <c r="Y7" s="46">
        <v>1.9041840000000001</v>
      </c>
      <c r="Z7" s="46">
        <v>2.0100380000000002</v>
      </c>
      <c r="AA7" s="52">
        <f t="shared" ref="AA7:AA55" si="1">(U7*5-SUM(V7:Z7))/5</f>
        <v>2.7745666357620302</v>
      </c>
      <c r="AB7" s="53">
        <v>7.3E-7</v>
      </c>
      <c r="AD7" s="9"/>
      <c r="AE7" s="9"/>
    </row>
    <row r="8" spans="1:59" ht="31.5">
      <c r="A8" s="73"/>
      <c r="B8" s="62"/>
      <c r="C8" s="71"/>
      <c r="D8" s="14" t="s">
        <v>222</v>
      </c>
      <c r="E8" s="8" t="s">
        <v>74</v>
      </c>
      <c r="F8" s="14" t="s">
        <v>83</v>
      </c>
      <c r="G8" s="22" t="s">
        <v>75</v>
      </c>
      <c r="H8" s="14">
        <v>2247.73</v>
      </c>
      <c r="I8" s="22">
        <v>3953081</v>
      </c>
      <c r="J8" s="22">
        <v>4023081</v>
      </c>
      <c r="K8" s="22">
        <f>J8-I8</f>
        <v>70000</v>
      </c>
      <c r="L8" s="41">
        <f>31351/K8*100</f>
        <v>44.787142857142861</v>
      </c>
      <c r="M8" s="49">
        <f>26278/K8*100</f>
        <v>37.54</v>
      </c>
      <c r="N8" s="50">
        <v>36.553759999999997</v>
      </c>
      <c r="O8" s="50">
        <v>36.63091</v>
      </c>
      <c r="P8" s="50">
        <v>36.52234</v>
      </c>
      <c r="Q8" s="50">
        <v>36.975189999999998</v>
      </c>
      <c r="R8" s="52">
        <f t="shared" si="0"/>
        <v>7.9427028571428648</v>
      </c>
      <c r="S8" s="53">
        <v>1.0133751451219438E-6</v>
      </c>
      <c r="T8" s="35"/>
      <c r="U8" s="56">
        <f>3375/K8*100</f>
        <v>4.8214285714285721</v>
      </c>
      <c r="V8" s="46">
        <f>1699/K8*100</f>
        <v>2.427142857142857</v>
      </c>
      <c r="W8" s="46">
        <v>2.46139340866559</v>
      </c>
      <c r="X8" s="46">
        <v>2.2556820616848299</v>
      </c>
      <c r="Y8" s="46">
        <v>2.421393980086</v>
      </c>
      <c r="Z8" s="46">
        <v>2.3199668576163202</v>
      </c>
      <c r="AA8" s="52">
        <f t="shared" si="1"/>
        <v>2.4443127383894527</v>
      </c>
      <c r="AB8" s="53">
        <v>1.8350984749053198E-7</v>
      </c>
      <c r="AD8" s="9"/>
      <c r="AE8" s="9"/>
    </row>
    <row r="9" spans="1:59" ht="15.75">
      <c r="A9" s="73"/>
      <c r="B9" s="62"/>
      <c r="C9" s="71"/>
      <c r="D9" s="14" t="s">
        <v>223</v>
      </c>
      <c r="E9" s="8" t="s">
        <v>84</v>
      </c>
      <c r="F9" s="14" t="s">
        <v>85</v>
      </c>
      <c r="G9" s="14" t="s">
        <v>10</v>
      </c>
      <c r="H9" s="14">
        <v>2726.01</v>
      </c>
      <c r="I9" s="14">
        <v>3153799</v>
      </c>
      <c r="J9" s="14">
        <v>3250214</v>
      </c>
      <c r="K9" s="14">
        <v>96416</v>
      </c>
      <c r="L9" s="41">
        <f>43269/K9*100</f>
        <v>44.877406239628279</v>
      </c>
      <c r="M9" s="49">
        <f>36150/K9*100</f>
        <v>37.493776966478592</v>
      </c>
      <c r="N9" s="49">
        <v>36.085299999999997</v>
      </c>
      <c r="O9" s="49">
        <v>35.545969999999997</v>
      </c>
      <c r="P9" s="49">
        <v>35.821860000000001</v>
      </c>
      <c r="Q9" s="49">
        <v>35.973280000000003</v>
      </c>
      <c r="R9" s="52">
        <f t="shared" si="0"/>
        <v>8.6933688463325609</v>
      </c>
      <c r="S9" s="53">
        <v>6.9236063808333304E-6</v>
      </c>
      <c r="T9" s="35"/>
      <c r="U9" s="56">
        <f>4789/K9*100</f>
        <v>4.9670179223365416</v>
      </c>
      <c r="V9" s="46">
        <f>2192/K9*100</f>
        <v>2.2734815798207766</v>
      </c>
      <c r="W9" s="46">
        <v>2.4321689346166599</v>
      </c>
      <c r="X9" s="46">
        <v>2.3326003982741499</v>
      </c>
      <c r="Y9" s="46">
        <v>2.1915449717889097</v>
      </c>
      <c r="Z9" s="46">
        <v>2.1521324261533401</v>
      </c>
      <c r="AA9" s="52">
        <f t="shared" si="1"/>
        <v>2.6906322602057742</v>
      </c>
      <c r="AB9" s="53">
        <v>3.5798413878898658E-7</v>
      </c>
      <c r="AD9" s="9"/>
      <c r="AE9" s="9"/>
    </row>
    <row r="10" spans="1:59" ht="15.75">
      <c r="A10" s="73"/>
      <c r="B10" s="62"/>
      <c r="C10" s="71"/>
      <c r="D10" s="14" t="s">
        <v>224</v>
      </c>
      <c r="E10" s="8" t="s">
        <v>86</v>
      </c>
      <c r="F10" s="14" t="s">
        <v>87</v>
      </c>
      <c r="G10" s="14" t="s">
        <v>167</v>
      </c>
      <c r="H10" s="14">
        <v>2587.5</v>
      </c>
      <c r="I10" s="14">
        <v>11651464</v>
      </c>
      <c r="J10" s="14">
        <v>11726480</v>
      </c>
      <c r="K10" s="14">
        <f>J10-I10+1</f>
        <v>75017</v>
      </c>
      <c r="L10" s="41">
        <f>33454/K10*100</f>
        <v>44.595225082314677</v>
      </c>
      <c r="M10" s="49">
        <f>28612/K10*100</f>
        <v>38.14068811069491</v>
      </c>
      <c r="N10" s="49">
        <v>37.326210000000003</v>
      </c>
      <c r="O10" s="49">
        <v>37.082259999999998</v>
      </c>
      <c r="P10" s="49">
        <v>37.611469999999997</v>
      </c>
      <c r="Q10" s="49">
        <v>37.368859999999998</v>
      </c>
      <c r="R10" s="52">
        <f t="shared" si="0"/>
        <v>7.0893274601756957</v>
      </c>
      <c r="S10" s="53">
        <v>1.2286332874784238E-6</v>
      </c>
      <c r="T10" s="35"/>
      <c r="U10" s="56">
        <f>3365/K10*100</f>
        <v>4.4856499193516131</v>
      </c>
      <c r="V10" s="46">
        <f>2045/K10*100</f>
        <v>2.7260487622805498</v>
      </c>
      <c r="W10" s="46">
        <v>2.6140741431942098</v>
      </c>
      <c r="X10" s="46">
        <v>2.6300705173494001</v>
      </c>
      <c r="Y10" s="46">
        <v>2.7153845128437601</v>
      </c>
      <c r="Z10" s="46">
        <v>2.3354706266579601</v>
      </c>
      <c r="AA10" s="52">
        <f t="shared" si="1"/>
        <v>1.8814402068864369</v>
      </c>
      <c r="AB10" s="53">
        <v>5.9521502493780958E-6</v>
      </c>
      <c r="AD10" s="9"/>
      <c r="AE10" s="9"/>
    </row>
    <row r="11" spans="1:59" ht="15.75">
      <c r="A11" s="73"/>
      <c r="B11" s="62"/>
      <c r="C11" s="71"/>
      <c r="D11" s="14" t="s">
        <v>225</v>
      </c>
      <c r="E11" s="8" t="s">
        <v>88</v>
      </c>
      <c r="F11" s="14" t="s">
        <v>89</v>
      </c>
      <c r="G11" s="14" t="s">
        <v>90</v>
      </c>
      <c r="H11" s="14">
        <v>2367.0700000000002</v>
      </c>
      <c r="I11" s="14">
        <v>2733059</v>
      </c>
      <c r="J11" s="14">
        <v>2821864</v>
      </c>
      <c r="K11" s="14">
        <v>88806</v>
      </c>
      <c r="L11" s="41">
        <f>41260/K11*100</f>
        <v>46.460824719050514</v>
      </c>
      <c r="M11" s="49">
        <f>35037/K11*100</f>
        <v>39.453415309776368</v>
      </c>
      <c r="N11" s="49">
        <v>38.419699999999999</v>
      </c>
      <c r="O11" s="49">
        <v>38.588610000000003</v>
      </c>
      <c r="P11" s="49">
        <v>38.380290000000002</v>
      </c>
      <c r="Q11" s="49">
        <v>38.466999999999999</v>
      </c>
      <c r="R11" s="52">
        <f t="shared" si="0"/>
        <v>7.7990216570952384</v>
      </c>
      <c r="S11" s="53">
        <v>1.3170733714131017E-6</v>
      </c>
      <c r="T11" s="35"/>
      <c r="U11" s="56">
        <f>4225/K11*100</f>
        <v>4.7575614260297732</v>
      </c>
      <c r="V11" s="46">
        <f>2554/K11*100</f>
        <v>2.8759318064094765</v>
      </c>
      <c r="W11" s="46">
        <v>3.0853771141589501</v>
      </c>
      <c r="X11" s="46">
        <v>3.0673603134923297</v>
      </c>
      <c r="Y11" s="46">
        <v>3.0020494110758298</v>
      </c>
      <c r="Z11" s="46">
        <v>2.9896628606175297</v>
      </c>
      <c r="AA11" s="52">
        <f t="shared" si="1"/>
        <v>1.7534851248789498</v>
      </c>
      <c r="AB11" s="53">
        <v>5.8725431690660843E-7</v>
      </c>
      <c r="AD11" s="9"/>
      <c r="AE11" s="9"/>
    </row>
    <row r="12" spans="1:59" ht="15.75">
      <c r="A12" s="73"/>
      <c r="B12" s="62"/>
      <c r="C12" s="71"/>
      <c r="D12" s="14" t="s">
        <v>226</v>
      </c>
      <c r="E12" s="8" t="s">
        <v>91</v>
      </c>
      <c r="F12" s="14" t="s">
        <v>168</v>
      </c>
      <c r="G12" s="14" t="s">
        <v>169</v>
      </c>
      <c r="H12" s="14">
        <v>2221.9899999999998</v>
      </c>
      <c r="I12" s="14">
        <v>3524080</v>
      </c>
      <c r="J12" s="14">
        <v>3593095</v>
      </c>
      <c r="K12" s="14">
        <f>J12-I12+1</f>
        <v>69016</v>
      </c>
      <c r="L12" s="41">
        <f>31351/K12*100</f>
        <v>45.425698388779409</v>
      </c>
      <c r="M12" s="49">
        <f>24502/K12*100</f>
        <v>35.501912599976812</v>
      </c>
      <c r="N12" s="49">
        <v>34.05442</v>
      </c>
      <c r="O12" s="49">
        <v>34.554310000000001</v>
      </c>
      <c r="P12" s="49">
        <v>34.783239999999999</v>
      </c>
      <c r="Q12" s="49">
        <v>34.571689999999997</v>
      </c>
      <c r="R12" s="52">
        <f t="shared" si="0"/>
        <v>10.732583868784047</v>
      </c>
      <c r="S12" s="53">
        <v>6.8701349230021142E-7</v>
      </c>
      <c r="T12" s="35"/>
      <c r="U12" s="56">
        <f>3843/K12*100</f>
        <v>5.5682740234148609</v>
      </c>
      <c r="V12" s="46">
        <f>1297/K12*100</f>
        <v>1.8792743711603106</v>
      </c>
      <c r="W12" s="46">
        <v>1.8676828561493002</v>
      </c>
      <c r="X12" s="46">
        <v>1.96186391561377</v>
      </c>
      <c r="Y12" s="46">
        <v>1.93723194621537</v>
      </c>
      <c r="Z12" s="46">
        <v>2.0343108844326001</v>
      </c>
      <c r="AA12" s="52">
        <f t="shared" si="1"/>
        <v>3.6322012287005903</v>
      </c>
      <c r="AB12" s="53">
        <v>1.4298878433441804E-8</v>
      </c>
      <c r="AD12" s="9"/>
      <c r="AE12" s="9"/>
    </row>
    <row r="13" spans="1:59" ht="15.75">
      <c r="A13" s="73"/>
      <c r="B13" s="62"/>
      <c r="C13" s="73" t="s">
        <v>92</v>
      </c>
      <c r="D13" s="14" t="s">
        <v>227</v>
      </c>
      <c r="E13" s="8" t="s">
        <v>93</v>
      </c>
      <c r="F13" s="14" t="s">
        <v>94</v>
      </c>
      <c r="G13" s="14" t="s">
        <v>11</v>
      </c>
      <c r="H13" s="14">
        <v>1074.96</v>
      </c>
      <c r="I13" s="14">
        <v>13104123</v>
      </c>
      <c r="J13" s="14">
        <v>13190291</v>
      </c>
      <c r="K13" s="14">
        <v>86169</v>
      </c>
      <c r="L13" s="41">
        <f>38840/K13*100</f>
        <v>45.07421462474904</v>
      </c>
      <c r="M13" s="49">
        <f>30679/K13*100</f>
        <v>35.603291206814511</v>
      </c>
      <c r="N13" s="49">
        <v>35.159979999999997</v>
      </c>
      <c r="O13" s="49">
        <v>35.289949999999997</v>
      </c>
      <c r="P13" s="49">
        <v>35.099629999999998</v>
      </c>
      <c r="Q13" s="49">
        <v>34.890740000000001</v>
      </c>
      <c r="R13" s="52">
        <f t="shared" si="0"/>
        <v>9.8654963833861409</v>
      </c>
      <c r="S13" s="53">
        <v>6.0987039133317941E-8</v>
      </c>
      <c r="T13" s="35"/>
      <c r="U13" s="56">
        <f>4194/K13*100</f>
        <v>4.8671796121575044</v>
      </c>
      <c r="V13" s="46">
        <f>1710/K13*100</f>
        <v>1.9844723740556347</v>
      </c>
      <c r="W13" s="46">
        <v>1.9879539045364301</v>
      </c>
      <c r="X13" s="46">
        <v>1.9798303334145699</v>
      </c>
      <c r="Y13" s="46">
        <v>1.94269400828604</v>
      </c>
      <c r="Z13" s="46">
        <v>2.0390163515881601</v>
      </c>
      <c r="AA13" s="52">
        <f t="shared" si="1"/>
        <v>2.8803862177813375</v>
      </c>
      <c r="AB13" s="53">
        <v>2.4343661963075263E-9</v>
      </c>
      <c r="AC13" s="11"/>
      <c r="AD13" s="9"/>
      <c r="AE13" s="9"/>
    </row>
    <row r="14" spans="1:59" ht="31.5">
      <c r="A14" s="73"/>
      <c r="B14" s="62"/>
      <c r="C14" s="73"/>
      <c r="D14" s="14" t="s">
        <v>228</v>
      </c>
      <c r="E14" s="8" t="s">
        <v>95</v>
      </c>
      <c r="F14" s="14" t="s">
        <v>96</v>
      </c>
      <c r="G14" s="14" t="s">
        <v>97</v>
      </c>
      <c r="H14" s="14">
        <v>1021.5</v>
      </c>
      <c r="I14" s="14">
        <v>1740589</v>
      </c>
      <c r="J14" s="14">
        <v>1801591</v>
      </c>
      <c r="K14" s="14">
        <f>J14-I14+1</f>
        <v>61003</v>
      </c>
      <c r="L14" s="41">
        <f>28542/K14*100</f>
        <v>46.787862891988915</v>
      </c>
      <c r="M14" s="49">
        <f>21980/K14*100</f>
        <v>36.03101486812124</v>
      </c>
      <c r="N14" s="49">
        <v>35.875279999999997</v>
      </c>
      <c r="O14" s="49">
        <v>36.170349999999999</v>
      </c>
      <c r="P14" s="49">
        <v>34.776980000000002</v>
      </c>
      <c r="Q14" s="49">
        <v>36.080190000000002</v>
      </c>
      <c r="R14" s="52">
        <f t="shared" si="0"/>
        <v>11.001099918364662</v>
      </c>
      <c r="S14" s="53">
        <v>8.8951200533358767E-7</v>
      </c>
      <c r="T14" s="35"/>
      <c r="U14" s="56">
        <f>2507/K14*100</f>
        <v>4.1096339524285694</v>
      </c>
      <c r="V14" s="46">
        <f>1204/K14*100</f>
        <v>1.9736734258970872</v>
      </c>
      <c r="W14" s="46">
        <v>2.2441519269544097</v>
      </c>
      <c r="X14" s="46">
        <v>2.04744028982181</v>
      </c>
      <c r="Y14" s="46">
        <v>1.97039489861154</v>
      </c>
      <c r="Z14" s="46">
        <v>2.3080832090225103</v>
      </c>
      <c r="AA14" s="52">
        <f t="shared" si="1"/>
        <v>2.0008852023670984</v>
      </c>
      <c r="AB14" s="53">
        <v>4.5681505392227959E-6</v>
      </c>
      <c r="AC14" s="10"/>
      <c r="AD14" s="9"/>
      <c r="AE14" s="9"/>
    </row>
    <row r="15" spans="1:59" ht="15.75">
      <c r="A15" s="73"/>
      <c r="B15" s="62"/>
      <c r="C15" s="24" t="s">
        <v>98</v>
      </c>
      <c r="D15" s="14" t="s">
        <v>0</v>
      </c>
      <c r="E15" s="8" t="s">
        <v>12</v>
      </c>
      <c r="F15" s="14" t="s">
        <v>99</v>
      </c>
      <c r="G15" s="14" t="s">
        <v>13</v>
      </c>
      <c r="H15" s="14">
        <v>1799.14</v>
      </c>
      <c r="I15" s="14">
        <v>82847910</v>
      </c>
      <c r="J15" s="14">
        <v>82938030</v>
      </c>
      <c r="K15" s="14">
        <v>90121</v>
      </c>
      <c r="L15" s="41">
        <f>39731/K15*100</f>
        <v>44.086283995960983</v>
      </c>
      <c r="M15" s="49">
        <f>33152/K15*100</f>
        <v>36.786098689539621</v>
      </c>
      <c r="N15" s="49">
        <v>35.405729999999998</v>
      </c>
      <c r="O15" s="49">
        <v>35.358020000000003</v>
      </c>
      <c r="P15" s="49">
        <v>36.021569999999997</v>
      </c>
      <c r="Q15" s="49">
        <v>36.116999999999997</v>
      </c>
      <c r="R15" s="52">
        <f t="shared" si="0"/>
        <v>8.1486002580530563</v>
      </c>
      <c r="S15" s="53">
        <v>3.207888199053958E-6</v>
      </c>
      <c r="T15" s="35"/>
      <c r="U15" s="56">
        <f>4193/K15*100</f>
        <v>4.6526336813839171</v>
      </c>
      <c r="V15" s="46">
        <f>2074/K15*100</f>
        <v>2.3013504066754695</v>
      </c>
      <c r="W15" s="46">
        <v>2.0760976908822601</v>
      </c>
      <c r="X15" s="46">
        <v>2.2225674371123301</v>
      </c>
      <c r="Y15" s="46">
        <v>2.18484038126519</v>
      </c>
      <c r="Z15" s="46">
        <v>2.2258962949811898</v>
      </c>
      <c r="AA15" s="52">
        <f t="shared" si="1"/>
        <v>2.4504832392006293</v>
      </c>
      <c r="AB15" s="53">
        <v>1.5151715875417721E-7</v>
      </c>
      <c r="AC15" s="10"/>
    </row>
    <row r="16" spans="1:59" ht="15.75">
      <c r="A16" s="73"/>
      <c r="B16" s="62"/>
      <c r="C16" s="25" t="s">
        <v>101</v>
      </c>
      <c r="D16" s="14" t="s">
        <v>1</v>
      </c>
      <c r="E16" s="8" t="s">
        <v>14</v>
      </c>
      <c r="F16" s="14" t="s">
        <v>102</v>
      </c>
      <c r="G16" s="14" t="s">
        <v>15</v>
      </c>
      <c r="H16" s="14">
        <v>1412.47</v>
      </c>
      <c r="I16" s="14">
        <v>527034</v>
      </c>
      <c r="J16" s="14">
        <v>597000</v>
      </c>
      <c r="K16" s="14">
        <v>69967</v>
      </c>
      <c r="L16" s="41">
        <f>33940/K16*100</f>
        <v>48.508582617519686</v>
      </c>
      <c r="M16" s="49">
        <f>26698/K16*100</f>
        <v>38.157988766132604</v>
      </c>
      <c r="N16" s="49">
        <v>37.604869999999998</v>
      </c>
      <c r="O16" s="49">
        <v>37.281860000000002</v>
      </c>
      <c r="P16" s="49">
        <v>37.186100000000003</v>
      </c>
      <c r="Q16" s="49">
        <v>37.273290000000003</v>
      </c>
      <c r="R16" s="52">
        <f t="shared" si="0"/>
        <v>11.007760864293164</v>
      </c>
      <c r="S16" s="53">
        <v>2.0981546198276345E-7</v>
      </c>
      <c r="T16" s="35"/>
      <c r="U16" s="56">
        <f>6089/K16*100</f>
        <v>8.7026741177983915</v>
      </c>
      <c r="V16" s="46">
        <f>2040/K16*100</f>
        <v>2.9156602398273472</v>
      </c>
      <c r="W16" s="46">
        <v>2.6355281775694301</v>
      </c>
      <c r="X16" s="46">
        <v>2.6112310089042001</v>
      </c>
      <c r="Y16" s="46">
        <v>2.78274043477639</v>
      </c>
      <c r="Z16" s="46">
        <v>2.7555847756799601</v>
      </c>
      <c r="AA16" s="52">
        <f t="shared" si="1"/>
        <v>5.962525190446927</v>
      </c>
      <c r="AB16" s="53">
        <v>2.1651223903739528E-8</v>
      </c>
      <c r="AC16" s="10"/>
    </row>
    <row r="17" spans="1:29" ht="31.5">
      <c r="A17" s="73"/>
      <c r="B17" s="62"/>
      <c r="C17" s="26" t="s">
        <v>171</v>
      </c>
      <c r="D17" s="14" t="s">
        <v>2</v>
      </c>
      <c r="E17" s="8" t="s">
        <v>100</v>
      </c>
      <c r="F17" s="27" t="s">
        <v>186</v>
      </c>
      <c r="G17" s="14" t="s">
        <v>172</v>
      </c>
      <c r="H17" s="28">
        <v>1021.25</v>
      </c>
      <c r="I17" s="14">
        <v>4733543</v>
      </c>
      <c r="J17" s="14">
        <v>4808744</v>
      </c>
      <c r="K17" s="14">
        <f>J17-I17+1</f>
        <v>75202</v>
      </c>
      <c r="L17" s="41">
        <f>32584/K17*100</f>
        <v>43.328634876732004</v>
      </c>
      <c r="M17" s="49">
        <f>28894/K17*100</f>
        <v>38.421850482699924</v>
      </c>
      <c r="N17" s="49">
        <v>37.073480000000004</v>
      </c>
      <c r="O17" s="49">
        <v>37.460439999999998</v>
      </c>
      <c r="P17" s="49">
        <v>37.50432</v>
      </c>
      <c r="Q17" s="49">
        <v>37.303530000000002</v>
      </c>
      <c r="R17" s="52">
        <f t="shared" si="0"/>
        <v>5.7759107801920155</v>
      </c>
      <c r="S17" s="53">
        <v>7.4642102620216567E-6</v>
      </c>
      <c r="T17" s="35"/>
      <c r="U17" s="56">
        <f>3443/K17*100</f>
        <v>4.5783356825616339</v>
      </c>
      <c r="V17" s="46">
        <f>1804/K17*100</f>
        <v>2.3988723704156807</v>
      </c>
      <c r="W17" s="46">
        <v>2.5823781282412703</v>
      </c>
      <c r="X17" s="46">
        <v>2.9480598920241503</v>
      </c>
      <c r="Y17" s="46">
        <v>2.5039227680114897</v>
      </c>
      <c r="Z17" s="46">
        <v>2.58769713571448</v>
      </c>
      <c r="AA17" s="52">
        <f t="shared" si="1"/>
        <v>1.9741496236802196</v>
      </c>
      <c r="AB17" s="53">
        <v>1.4263680499072885E-5</v>
      </c>
      <c r="AC17" s="10"/>
    </row>
    <row r="18" spans="1:29" ht="31.5">
      <c r="A18" s="73"/>
      <c r="B18" s="74" t="s">
        <v>103</v>
      </c>
      <c r="C18" s="75" t="s">
        <v>104</v>
      </c>
      <c r="D18" s="14" t="s">
        <v>3</v>
      </c>
      <c r="E18" s="8" t="s">
        <v>16</v>
      </c>
      <c r="F18" s="14" t="s">
        <v>105</v>
      </c>
      <c r="G18" s="14" t="s">
        <v>17</v>
      </c>
      <c r="H18" s="14">
        <v>139.72999999999999</v>
      </c>
      <c r="I18" s="14">
        <v>14340242</v>
      </c>
      <c r="J18" s="14">
        <v>14413944</v>
      </c>
      <c r="K18" s="14">
        <v>73703</v>
      </c>
      <c r="L18" s="41">
        <f>30968/K18*100</f>
        <v>42.017285592173998</v>
      </c>
      <c r="M18" s="49">
        <f>26965/K18*100</f>
        <v>36.586027705792169</v>
      </c>
      <c r="N18" s="49">
        <v>35.888629999999999</v>
      </c>
      <c r="O18" s="49">
        <v>35.849290000000003</v>
      </c>
      <c r="P18" s="49">
        <v>35.649839999999998</v>
      </c>
      <c r="Q18" s="49">
        <v>35.930689999999998</v>
      </c>
      <c r="R18" s="52">
        <f t="shared" si="0"/>
        <v>6.0363900510155641</v>
      </c>
      <c r="S18" s="53">
        <v>1.4290509305103034E-6</v>
      </c>
      <c r="T18" s="35"/>
      <c r="U18" s="56">
        <f>3150/K18*100</f>
        <v>4.2739101529110073</v>
      </c>
      <c r="V18" s="46">
        <f>1802/K18*100</f>
        <v>2.4449479668398841</v>
      </c>
      <c r="W18" s="46">
        <v>2.42052562310896</v>
      </c>
      <c r="X18" s="46">
        <v>2.2346444513791801</v>
      </c>
      <c r="Y18" s="46">
        <v>2.3336906231768002</v>
      </c>
      <c r="Z18" s="46">
        <v>2.2210764826397797</v>
      </c>
      <c r="AA18" s="52">
        <f t="shared" si="1"/>
        <v>1.9429331234820864</v>
      </c>
      <c r="AB18" s="53">
        <v>9.4145841401692788E-7</v>
      </c>
      <c r="AC18" s="10"/>
    </row>
    <row r="19" spans="1:29" ht="31.5" customHeight="1">
      <c r="A19" s="73"/>
      <c r="B19" s="74"/>
      <c r="C19" s="75"/>
      <c r="D19" s="14" t="s">
        <v>4</v>
      </c>
      <c r="E19" s="8" t="s">
        <v>18</v>
      </c>
      <c r="F19" s="14" t="s">
        <v>106</v>
      </c>
      <c r="G19" s="14" t="s">
        <v>19</v>
      </c>
      <c r="H19" s="14">
        <v>265.02999999999997</v>
      </c>
      <c r="I19" s="14">
        <v>35400270</v>
      </c>
      <c r="J19" s="14">
        <v>35470814</v>
      </c>
      <c r="K19" s="14">
        <v>70545</v>
      </c>
      <c r="L19" s="41">
        <f>31005/K19*100</f>
        <v>43.950669785243463</v>
      </c>
      <c r="M19" s="49">
        <f>25346/K19*100</f>
        <v>35.928839747678786</v>
      </c>
      <c r="N19" s="49">
        <v>35.578710000000001</v>
      </c>
      <c r="O19" s="49">
        <v>35.303710000000002</v>
      </c>
      <c r="P19" s="49">
        <v>35.658090000000001</v>
      </c>
      <c r="Q19" s="49">
        <v>35.520589999999999</v>
      </c>
      <c r="R19" s="52">
        <f t="shared" si="0"/>
        <v>8.3526818357077044</v>
      </c>
      <c r="S19" s="53">
        <v>6.5346080395535343E-8</v>
      </c>
      <c r="T19" s="35"/>
      <c r="U19" s="56">
        <f>4196/K19*100</f>
        <v>5.9479764689205474</v>
      </c>
      <c r="V19" s="46">
        <f>1311/K19*100</f>
        <v>1.8583882628109716</v>
      </c>
      <c r="W19" s="46">
        <v>2.4707633425473099</v>
      </c>
      <c r="X19" s="46">
        <v>2.1305549649160103</v>
      </c>
      <c r="Y19" s="46">
        <v>1.9746261251683301</v>
      </c>
      <c r="Z19" s="46">
        <v>2.1659933375859399</v>
      </c>
      <c r="AA19" s="52">
        <f t="shared" si="1"/>
        <v>3.827911262314835</v>
      </c>
      <c r="AB19" s="53">
        <v>1.6043837510583566E-6</v>
      </c>
      <c r="AC19" s="10"/>
    </row>
    <row r="20" spans="1:29" ht="15.75">
      <c r="A20" s="73"/>
      <c r="B20" s="74"/>
      <c r="C20" s="75"/>
      <c r="D20" s="14" t="s">
        <v>28</v>
      </c>
      <c r="E20" s="8" t="s">
        <v>107</v>
      </c>
      <c r="F20" s="14" t="s">
        <v>108</v>
      </c>
      <c r="G20" s="14" t="s">
        <v>109</v>
      </c>
      <c r="H20" s="14">
        <v>219.63</v>
      </c>
      <c r="I20" s="14">
        <v>2702145</v>
      </c>
      <c r="J20" s="14">
        <v>2756714</v>
      </c>
      <c r="K20" s="14">
        <f>J20-I20+1</f>
        <v>54570</v>
      </c>
      <c r="L20" s="41">
        <f>28205/K20*100</f>
        <v>51.685908008063045</v>
      </c>
      <c r="M20" s="49">
        <f>24733/K20*100</f>
        <v>45.323437786329485</v>
      </c>
      <c r="N20" s="49">
        <v>43.718159999999997</v>
      </c>
      <c r="O20" s="49">
        <v>44.022359999999999</v>
      </c>
      <c r="P20" s="49">
        <v>43.77863</v>
      </c>
      <c r="Q20" s="49">
        <v>44.040680000000002</v>
      </c>
      <c r="R20" s="52">
        <f t="shared" si="0"/>
        <v>7.5092544507971466</v>
      </c>
      <c r="S20" s="53">
        <v>6.9560339426565315E-6</v>
      </c>
      <c r="T20" s="35"/>
      <c r="U20" s="56">
        <f>5113/K20*100</f>
        <v>9.3696170056807784</v>
      </c>
      <c r="V20" s="46">
        <f>2434/K20*100</f>
        <v>4.460326186549386</v>
      </c>
      <c r="W20" s="46">
        <v>4.3943558731904</v>
      </c>
      <c r="X20" s="46">
        <v>4.7736851750045801</v>
      </c>
      <c r="Y20" s="46">
        <v>4.2001099505222603</v>
      </c>
      <c r="Z20" s="46">
        <v>4.3815283122594799</v>
      </c>
      <c r="AA20" s="52">
        <f t="shared" si="1"/>
        <v>4.9276159061755571</v>
      </c>
      <c r="AB20" s="53">
        <v>3.8770210385248865E-7</v>
      </c>
      <c r="AC20" s="10"/>
    </row>
    <row r="21" spans="1:29" ht="31.5">
      <c r="A21" s="73"/>
      <c r="B21" s="71" t="s">
        <v>110</v>
      </c>
      <c r="C21" s="71"/>
      <c r="D21" s="14" t="s">
        <v>31</v>
      </c>
      <c r="E21" s="8" t="s">
        <v>20</v>
      </c>
      <c r="F21" s="14" t="s">
        <v>111</v>
      </c>
      <c r="G21" s="14" t="s">
        <v>187</v>
      </c>
      <c r="H21" s="14">
        <v>100.28</v>
      </c>
      <c r="I21" s="14">
        <v>5417105</v>
      </c>
      <c r="J21" s="14">
        <v>5484643</v>
      </c>
      <c r="K21" s="14">
        <v>67539</v>
      </c>
      <c r="L21" s="41">
        <f>31930/K21*100</f>
        <v>47.276388457039637</v>
      </c>
      <c r="M21" s="49">
        <f>27164/K21*100</f>
        <v>40.219724899687584</v>
      </c>
      <c r="N21" s="49">
        <v>38.739100000000001</v>
      </c>
      <c r="O21" s="49">
        <v>39.492739999999998</v>
      </c>
      <c r="P21" s="49">
        <v>38.940460000000002</v>
      </c>
      <c r="Q21" s="49">
        <v>39.71631</v>
      </c>
      <c r="R21" s="52">
        <f t="shared" si="0"/>
        <v>7.8547214771021228</v>
      </c>
      <c r="S21" s="53">
        <v>3.9771517546607119E-6</v>
      </c>
      <c r="T21" s="35"/>
      <c r="U21" s="56">
        <f>4187/K21*100</f>
        <v>6.1993810983283737</v>
      </c>
      <c r="V21" s="46">
        <f>2058/K21*100</f>
        <v>3.0471283258561721</v>
      </c>
      <c r="W21" s="46">
        <v>3.1789040406283804</v>
      </c>
      <c r="X21" s="46">
        <v>3.18778779668044</v>
      </c>
      <c r="Y21" s="46">
        <v>3.0338026917780798</v>
      </c>
      <c r="Z21" s="46">
        <v>3.3032766253572001</v>
      </c>
      <c r="AA21" s="52">
        <f t="shared" si="1"/>
        <v>3.049201202268319</v>
      </c>
      <c r="AB21" s="53">
        <v>2.1513959799848779E-7</v>
      </c>
      <c r="AC21" s="7"/>
    </row>
    <row r="22" spans="1:29" ht="31.5" customHeight="1">
      <c r="A22" s="62" t="s">
        <v>112</v>
      </c>
      <c r="B22" s="73" t="s">
        <v>113</v>
      </c>
      <c r="C22" s="73"/>
      <c r="D22" s="14" t="s">
        <v>34</v>
      </c>
      <c r="E22" s="8" t="s">
        <v>21</v>
      </c>
      <c r="F22" s="14" t="s">
        <v>114</v>
      </c>
      <c r="G22" s="14" t="s">
        <v>22</v>
      </c>
      <c r="H22" s="14">
        <v>119.67</v>
      </c>
      <c r="I22" s="14">
        <v>64166</v>
      </c>
      <c r="J22" s="14">
        <v>141971</v>
      </c>
      <c r="K22" s="14">
        <f>J22-I22+1</f>
        <v>77806</v>
      </c>
      <c r="L22" s="41">
        <f>35139/K22*100</f>
        <v>45.162326812842196</v>
      </c>
      <c r="M22" s="49">
        <f>29945/K22*100</f>
        <v>38.486749093900215</v>
      </c>
      <c r="N22" s="49">
        <v>37.450839999999999</v>
      </c>
      <c r="O22" s="49">
        <v>37.756729999999997</v>
      </c>
      <c r="P22" s="49">
        <v>37.792720000000003</v>
      </c>
      <c r="Q22" s="49">
        <v>38.083179999999999</v>
      </c>
      <c r="R22" s="52">
        <f t="shared" si="0"/>
        <v>7.2482829940621514</v>
      </c>
      <c r="S22" s="53">
        <v>1.0092220263083478E-6</v>
      </c>
      <c r="T22" s="35"/>
      <c r="U22" s="56">
        <f>4068/K22*100</f>
        <v>5.2283885561524812</v>
      </c>
      <c r="V22" s="46">
        <f>2079/K22*100</f>
        <v>2.6720304346708481</v>
      </c>
      <c r="W22" s="46">
        <v>2.6180500218492098</v>
      </c>
      <c r="X22" s="46">
        <v>2.7221551037195102</v>
      </c>
      <c r="Y22" s="46">
        <v>3.0691720432871503</v>
      </c>
      <c r="Z22" s="46">
        <v>2.7722797727681701</v>
      </c>
      <c r="AA22" s="52">
        <f t="shared" si="1"/>
        <v>2.4576510808935037</v>
      </c>
      <c r="AB22" s="53">
        <v>3.1638676162391569E-6</v>
      </c>
      <c r="AC22" s="10"/>
    </row>
    <row r="23" spans="1:29" ht="15.75">
      <c r="A23" s="62"/>
      <c r="B23" s="73"/>
      <c r="C23" s="73"/>
      <c r="D23" s="14" t="s">
        <v>37</v>
      </c>
      <c r="E23" s="8" t="s">
        <v>115</v>
      </c>
      <c r="F23" s="14" t="s">
        <v>116</v>
      </c>
      <c r="G23" s="14" t="s">
        <v>117</v>
      </c>
      <c r="H23" s="14">
        <v>239.01</v>
      </c>
      <c r="I23" s="14">
        <v>7561880</v>
      </c>
      <c r="J23" s="14">
        <v>7646050</v>
      </c>
      <c r="K23" s="14">
        <f>J23-I23+1</f>
        <v>84171</v>
      </c>
      <c r="L23" s="41">
        <f>39416/K23*100</f>
        <v>46.828480117855321</v>
      </c>
      <c r="M23" s="49">
        <f>33935/K23*100</f>
        <v>40.316736168038872</v>
      </c>
      <c r="N23" s="49">
        <v>39.557569999999998</v>
      </c>
      <c r="O23" s="49">
        <v>39.698950000000004</v>
      </c>
      <c r="P23" s="49">
        <v>40.218130000000002</v>
      </c>
      <c r="Q23" s="49">
        <v>40.491379999999999</v>
      </c>
      <c r="R23" s="52">
        <f t="shared" si="0"/>
        <v>6.771926884247546</v>
      </c>
      <c r="S23" s="53">
        <v>1.5448248011070278E-6</v>
      </c>
      <c r="T23" s="35"/>
      <c r="U23" s="56">
        <f>5037/K23*100</f>
        <v>5.9842463556331751</v>
      </c>
      <c r="V23" s="46">
        <f>3010/K23*100</f>
        <v>3.5760535101163109</v>
      </c>
      <c r="W23" s="46">
        <v>3.1578572192322802</v>
      </c>
      <c r="X23" s="46">
        <v>3.4311104774803702</v>
      </c>
      <c r="Y23" s="46">
        <v>3.3728956528970802</v>
      </c>
      <c r="Z23" s="46">
        <v>3.3586389611624003</v>
      </c>
      <c r="AA23" s="52">
        <f t="shared" si="1"/>
        <v>2.6049351914554868</v>
      </c>
      <c r="AB23" s="53">
        <v>1.3399073189773423E-6</v>
      </c>
    </row>
    <row r="24" spans="1:29" ht="15.75">
      <c r="A24" s="62"/>
      <c r="B24" s="73"/>
      <c r="C24" s="73"/>
      <c r="D24" s="14" t="s">
        <v>40</v>
      </c>
      <c r="E24" s="8" t="s">
        <v>118</v>
      </c>
      <c r="F24" s="14" t="s">
        <v>119</v>
      </c>
      <c r="G24" s="14" t="s">
        <v>120</v>
      </c>
      <c r="H24" s="14">
        <v>330.46</v>
      </c>
      <c r="I24" s="14">
        <v>9012807</v>
      </c>
      <c r="J24" s="14">
        <v>9092881</v>
      </c>
      <c r="K24" s="14">
        <v>80075</v>
      </c>
      <c r="L24" s="41">
        <f>36455/K24*100</f>
        <v>45.526069310021853</v>
      </c>
      <c r="M24" s="49">
        <f>32223/K24*100</f>
        <v>40.241024039962539</v>
      </c>
      <c r="N24" s="49">
        <v>39.404310000000002</v>
      </c>
      <c r="O24" s="49">
        <v>39.206989999999998</v>
      </c>
      <c r="P24" s="49">
        <v>39.194510000000001</v>
      </c>
      <c r="Q24" s="49">
        <v>39.052140000000001</v>
      </c>
      <c r="R24" s="52">
        <f t="shared" si="0"/>
        <v>6.1062745020293452</v>
      </c>
      <c r="S24" s="53">
        <v>4.3911213041722691E-6</v>
      </c>
      <c r="T24" s="35"/>
      <c r="U24" s="56">
        <f>2676/K24*100</f>
        <v>3.3418669996877925</v>
      </c>
      <c r="V24" s="46">
        <f>2414/K24*100</f>
        <v>3.0146737433655946</v>
      </c>
      <c r="W24" s="46">
        <v>3.10458944739307</v>
      </c>
      <c r="X24" s="46">
        <v>3.2644395878863599</v>
      </c>
      <c r="Y24" s="46">
        <v>3.2806743677802097</v>
      </c>
      <c r="Z24" s="46">
        <v>3.0821105213862001</v>
      </c>
      <c r="AA24" s="52">
        <f t="shared" si="1"/>
        <v>0.19256946612550579</v>
      </c>
      <c r="AB24" s="53">
        <v>1.0723615231489275E-2</v>
      </c>
    </row>
    <row r="25" spans="1:29" ht="15.75">
      <c r="A25" s="62"/>
      <c r="B25" s="73"/>
      <c r="C25" s="73"/>
      <c r="D25" s="14" t="s">
        <v>44</v>
      </c>
      <c r="E25" s="8" t="s">
        <v>121</v>
      </c>
      <c r="F25" s="14" t="s">
        <v>122</v>
      </c>
      <c r="G25" s="14" t="s">
        <v>123</v>
      </c>
      <c r="H25" s="14">
        <v>950.7</v>
      </c>
      <c r="I25" s="14">
        <v>12545970</v>
      </c>
      <c r="J25" s="14">
        <v>12632073</v>
      </c>
      <c r="K25" s="14">
        <v>86104</v>
      </c>
      <c r="L25" s="41">
        <f>40036/K25*100</f>
        <v>46.49725912849577</v>
      </c>
      <c r="M25" s="49">
        <f>34763/K25*100</f>
        <v>40.373269534516396</v>
      </c>
      <c r="N25" s="49">
        <v>39.334989999999998</v>
      </c>
      <c r="O25" s="49">
        <v>40.080599999999997</v>
      </c>
      <c r="P25" s="49">
        <v>39.779800000000002</v>
      </c>
      <c r="Q25" s="49">
        <v>39.598619999999997</v>
      </c>
      <c r="R25" s="52">
        <f t="shared" si="0"/>
        <v>6.6638032215924907</v>
      </c>
      <c r="S25" s="53">
        <v>1.6434786006233009E-6</v>
      </c>
      <c r="T25" s="35"/>
      <c r="U25" s="56">
        <f>4342/K25*100</f>
        <v>5.0427390132862584</v>
      </c>
      <c r="V25" s="46">
        <f>2839/K25*100</f>
        <v>3.297175508687169</v>
      </c>
      <c r="W25" s="46">
        <v>3.1566477747839801</v>
      </c>
      <c r="X25" s="46">
        <v>3.5224844374245099</v>
      </c>
      <c r="Y25" s="46">
        <v>3.3471151166031796</v>
      </c>
      <c r="Z25" s="46">
        <v>3.3018210536095904</v>
      </c>
      <c r="AA25" s="52">
        <f t="shared" si="1"/>
        <v>1.7176902350645726</v>
      </c>
      <c r="AB25" s="53">
        <v>4.0869068284919936E-6</v>
      </c>
    </row>
    <row r="26" spans="1:29" ht="15.75">
      <c r="A26" s="62"/>
      <c r="B26" s="73"/>
      <c r="C26" s="73"/>
      <c r="D26" s="14" t="s">
        <v>47</v>
      </c>
      <c r="E26" s="8" t="s">
        <v>124</v>
      </c>
      <c r="F26" s="14" t="s">
        <v>170</v>
      </c>
      <c r="G26" s="14" t="s">
        <v>174</v>
      </c>
      <c r="H26" s="14">
        <v>191.86</v>
      </c>
      <c r="I26" s="14">
        <v>2872725</v>
      </c>
      <c r="J26" s="14">
        <v>2943047</v>
      </c>
      <c r="K26" s="14">
        <f>J26-I26+1</f>
        <v>70323</v>
      </c>
      <c r="L26" s="41">
        <f>33590/K26*100</f>
        <v>47.765311491261748</v>
      </c>
      <c r="M26" s="49">
        <f>28642/K26*100</f>
        <v>40.729206660694224</v>
      </c>
      <c r="N26" s="49">
        <v>39.762239999999998</v>
      </c>
      <c r="O26" s="49">
        <v>40.363750000000003</v>
      </c>
      <c r="P26" s="49">
        <v>40.198799999999999</v>
      </c>
      <c r="Q26" s="49">
        <v>40.491729999999997</v>
      </c>
      <c r="R26" s="52">
        <f t="shared" si="0"/>
        <v>7.4561661591229038</v>
      </c>
      <c r="S26" s="53">
        <v>6.6433044628120927E-7</v>
      </c>
      <c r="T26" s="35"/>
      <c r="U26" s="56">
        <f>4554/K26*100</f>
        <v>6.4758329422806193</v>
      </c>
      <c r="V26" s="46">
        <f>2430/K26*100</f>
        <v>3.4554839810588289</v>
      </c>
      <c r="W26" s="46">
        <v>3.5294279999999998</v>
      </c>
      <c r="X26" s="46">
        <v>3.2464490000000001</v>
      </c>
      <c r="Y26" s="46">
        <v>2.9549370000000001</v>
      </c>
      <c r="Z26" s="46">
        <v>3.331769</v>
      </c>
      <c r="AA26" s="52">
        <f t="shared" si="1"/>
        <v>3.1722195460688538</v>
      </c>
      <c r="AB26" s="53">
        <v>2.9340340541961922E-6</v>
      </c>
    </row>
    <row r="27" spans="1:29" ht="15.75">
      <c r="A27" s="62"/>
      <c r="B27" s="73"/>
      <c r="C27" s="73"/>
      <c r="D27" s="14" t="s">
        <v>50</v>
      </c>
      <c r="E27" s="8" t="s">
        <v>125</v>
      </c>
      <c r="F27" s="14" t="s">
        <v>126</v>
      </c>
      <c r="G27" s="14" t="s">
        <v>127</v>
      </c>
      <c r="H27" s="14">
        <v>426.18</v>
      </c>
      <c r="I27" s="14">
        <v>8645075</v>
      </c>
      <c r="J27" s="14">
        <v>8724005</v>
      </c>
      <c r="K27" s="14">
        <v>78931</v>
      </c>
      <c r="L27" s="41">
        <f>36344/K27*100</f>
        <v>46.04528005473135</v>
      </c>
      <c r="M27" s="49">
        <f>31266/K27*100</f>
        <v>39.611812849197399</v>
      </c>
      <c r="N27" s="49">
        <v>38.984679999999997</v>
      </c>
      <c r="O27" s="49">
        <v>38.859259999999999</v>
      </c>
      <c r="P27" s="49">
        <v>39.154449999999997</v>
      </c>
      <c r="Q27" s="49">
        <v>38.817450000000001</v>
      </c>
      <c r="R27" s="52">
        <f t="shared" si="0"/>
        <v>6.959749484891864</v>
      </c>
      <c r="S27" s="53">
        <v>5.4885640681967462E-7</v>
      </c>
      <c r="T27" s="35"/>
      <c r="U27" s="56">
        <f>4136/K27*100</f>
        <v>5.2400197640977568</v>
      </c>
      <c r="V27" s="46">
        <f>2399/K27*100</f>
        <v>3.0393634946979007</v>
      </c>
      <c r="W27" s="46">
        <v>3.1343830000000001</v>
      </c>
      <c r="X27" s="46">
        <v>3.2534749999999999</v>
      </c>
      <c r="Y27" s="46">
        <v>3.295283</v>
      </c>
      <c r="Z27" s="46">
        <v>2.8151169999999999</v>
      </c>
      <c r="AA27" s="52">
        <f t="shared" si="1"/>
        <v>2.1324954651581769</v>
      </c>
      <c r="AB27" s="53">
        <v>7.7977286405967301E-6</v>
      </c>
    </row>
    <row r="28" spans="1:29" ht="31.5">
      <c r="A28" s="62"/>
      <c r="B28" s="73"/>
      <c r="C28" s="73"/>
      <c r="D28" s="14" t="s">
        <v>51</v>
      </c>
      <c r="E28" s="8" t="s">
        <v>128</v>
      </c>
      <c r="F28" s="14" t="s">
        <v>129</v>
      </c>
      <c r="G28" s="14" t="s">
        <v>130</v>
      </c>
      <c r="H28" s="14">
        <v>759.85</v>
      </c>
      <c r="I28" s="14">
        <v>19068678</v>
      </c>
      <c r="J28" s="14">
        <v>19123092</v>
      </c>
      <c r="K28" s="14">
        <v>54415</v>
      </c>
      <c r="L28" s="41">
        <f>24122/K28*100</f>
        <v>44.329688505007809</v>
      </c>
      <c r="M28" s="49">
        <f>21119/K28*100</f>
        <v>38.810989616833588</v>
      </c>
      <c r="N28" s="49">
        <v>38.182490000000001</v>
      </c>
      <c r="O28" s="49">
        <v>37.873750000000001</v>
      </c>
      <c r="P28" s="49">
        <v>38.250480000000003</v>
      </c>
      <c r="Q28" s="49">
        <v>38.77975</v>
      </c>
      <c r="R28" s="52">
        <f t="shared" si="0"/>
        <v>5.9501965816410918</v>
      </c>
      <c r="S28" s="53">
        <v>2.5716340273109792E-6</v>
      </c>
      <c r="T28" s="35"/>
      <c r="U28" s="56">
        <f>2344/K28*100</f>
        <v>4.3076357621979238</v>
      </c>
      <c r="V28" s="46">
        <f>1639/K28*100</f>
        <v>3.0120371221170634</v>
      </c>
      <c r="W28" s="46">
        <v>2.8301020000000001</v>
      </c>
      <c r="X28" s="46">
        <v>2.5691449999999998</v>
      </c>
      <c r="Y28" s="46">
        <v>2.3173759999999999</v>
      </c>
      <c r="Z28" s="46">
        <v>3.2454290000000001</v>
      </c>
      <c r="AA28" s="52">
        <f t="shared" si="1"/>
        <v>1.5128179377745117</v>
      </c>
      <c r="AB28" s="53">
        <v>3.7344745430012118E-4</v>
      </c>
    </row>
    <row r="29" spans="1:29" ht="15.75">
      <c r="A29" s="62"/>
      <c r="B29" s="73"/>
      <c r="C29" s="73"/>
      <c r="D29" s="14" t="s">
        <v>52</v>
      </c>
      <c r="E29" s="8" t="s">
        <v>131</v>
      </c>
      <c r="F29" s="14" t="s">
        <v>132</v>
      </c>
      <c r="G29" s="14" t="s">
        <v>133</v>
      </c>
      <c r="H29" s="14">
        <v>376.57</v>
      </c>
      <c r="I29" s="14">
        <v>12009691</v>
      </c>
      <c r="J29" s="14">
        <v>12066430</v>
      </c>
      <c r="K29" s="14">
        <v>56740</v>
      </c>
      <c r="L29" s="41">
        <f>26266/K29*100</f>
        <v>46.291857596052168</v>
      </c>
      <c r="M29" s="49">
        <f>22726/K29*100</f>
        <v>40.052872752908002</v>
      </c>
      <c r="N29" s="49">
        <v>38.61121</v>
      </c>
      <c r="O29" s="49">
        <v>38.605919999999998</v>
      </c>
      <c r="P29" s="49">
        <v>38.810360000000003</v>
      </c>
      <c r="Q29" s="49">
        <v>38.713430000000002</v>
      </c>
      <c r="R29" s="52">
        <f t="shared" si="0"/>
        <v>7.3330990454705667</v>
      </c>
      <c r="S29" s="53">
        <v>5.9719729924864782E-6</v>
      </c>
      <c r="T29" s="35"/>
      <c r="U29" s="56">
        <f>3345/K29*100</f>
        <v>5.8953119492421573</v>
      </c>
      <c r="V29" s="46">
        <f>1726/K29*100</f>
        <v>3.0419457173070144</v>
      </c>
      <c r="W29" s="46">
        <v>3.038421</v>
      </c>
      <c r="X29" s="46">
        <v>2.7247089999999998</v>
      </c>
      <c r="Y29" s="46">
        <v>2.9890729999999999</v>
      </c>
      <c r="Z29" s="46">
        <v>2.9890729999999999</v>
      </c>
      <c r="AA29" s="52">
        <f t="shared" si="1"/>
        <v>2.9386676057807546</v>
      </c>
      <c r="AB29" s="53">
        <v>4.8950666542088619E-7</v>
      </c>
    </row>
    <row r="30" spans="1:29" ht="15.75">
      <c r="A30" s="62"/>
      <c r="B30" s="71" t="s">
        <v>134</v>
      </c>
      <c r="C30" s="71"/>
      <c r="D30" s="14" t="s">
        <v>55</v>
      </c>
      <c r="E30" s="8" t="s">
        <v>183</v>
      </c>
      <c r="F30" s="14" t="s">
        <v>135</v>
      </c>
      <c r="G30" s="14" t="s">
        <v>23</v>
      </c>
      <c r="H30" s="14">
        <v>382.78</v>
      </c>
      <c r="I30" s="14">
        <v>10533405</v>
      </c>
      <c r="J30" s="14">
        <v>10591932</v>
      </c>
      <c r="K30" s="14">
        <v>58528</v>
      </c>
      <c r="L30" s="41">
        <f>25836/K30*100</f>
        <v>44.142974302897755</v>
      </c>
      <c r="M30" s="49">
        <f>21354/K30*100</f>
        <v>36.485101148168397</v>
      </c>
      <c r="N30" s="49">
        <v>35.835839999999997</v>
      </c>
      <c r="O30" s="49">
        <v>35.229289999999999</v>
      </c>
      <c r="P30" s="49">
        <v>35.709400000000002</v>
      </c>
      <c r="Q30" s="49">
        <v>35.19341</v>
      </c>
      <c r="R30" s="52">
        <f t="shared" si="0"/>
        <v>8.4523660732640735</v>
      </c>
      <c r="S30" s="53">
        <v>1.8098443891091864E-6</v>
      </c>
      <c r="T30" s="35"/>
      <c r="U30" s="56">
        <f>3165/K30*100</f>
        <v>5.4076681246582829</v>
      </c>
      <c r="V30" s="46">
        <f>1198/K30*100</f>
        <v>2.0468835429196282</v>
      </c>
      <c r="W30" s="46">
        <v>2.176736</v>
      </c>
      <c r="X30" s="46">
        <v>1.9887919999999999</v>
      </c>
      <c r="Y30" s="46">
        <v>2.3680970000000001</v>
      </c>
      <c r="Z30" s="46">
        <v>2.0332150000000002</v>
      </c>
      <c r="AA30" s="52">
        <f t="shared" si="1"/>
        <v>3.2849234160743572</v>
      </c>
      <c r="AB30" s="53">
        <v>5.7749697536073621E-7</v>
      </c>
    </row>
    <row r="31" spans="1:29" ht="31.5">
      <c r="A31" s="75" t="s">
        <v>145</v>
      </c>
      <c r="B31" s="75"/>
      <c r="C31" s="75"/>
      <c r="D31" s="14" t="s">
        <v>56</v>
      </c>
      <c r="E31" s="8" t="s">
        <v>184</v>
      </c>
      <c r="F31" s="14" t="s">
        <v>136</v>
      </c>
      <c r="G31" s="15" t="s">
        <v>24</v>
      </c>
      <c r="H31" s="14">
        <v>12.16</v>
      </c>
      <c r="I31" s="14">
        <v>36535</v>
      </c>
      <c r="J31" s="14">
        <v>107907</v>
      </c>
      <c r="K31" s="14">
        <v>71373</v>
      </c>
      <c r="L31" s="41">
        <f>29297/K31*100</f>
        <v>41.047735137937316</v>
      </c>
      <c r="M31" s="49">
        <f>26945/K31*100</f>
        <v>37.752371344906337</v>
      </c>
      <c r="N31" s="49">
        <v>37.119079999999997</v>
      </c>
      <c r="O31" s="49">
        <v>37.078449999999997</v>
      </c>
      <c r="P31" s="49">
        <v>36.729579999999999</v>
      </c>
      <c r="Q31" s="49">
        <v>36.561439999999997</v>
      </c>
      <c r="R31" s="52">
        <f t="shared" si="0"/>
        <v>3.9995508689560495</v>
      </c>
      <c r="S31" s="53">
        <v>2.0336098152783393E-5</v>
      </c>
      <c r="T31" s="35"/>
      <c r="U31" s="56">
        <f>2856/K31*100</f>
        <v>4.0015131772519013</v>
      </c>
      <c r="V31" s="46">
        <f>1744/K31*100</f>
        <v>2.4435010438120859</v>
      </c>
      <c r="W31" s="46">
        <v>2.6340490000000001</v>
      </c>
      <c r="X31" s="46">
        <v>2.5569890000000002</v>
      </c>
      <c r="Y31" s="46">
        <v>2.5205609999999998</v>
      </c>
      <c r="Z31" s="46">
        <v>2.349628</v>
      </c>
      <c r="AA31" s="52">
        <f t="shared" si="1"/>
        <v>1.5005675684894839</v>
      </c>
      <c r="AB31" s="53">
        <v>3.3057267632370275E-6</v>
      </c>
    </row>
    <row r="32" spans="1:29" ht="15.75">
      <c r="A32" s="75"/>
      <c r="B32" s="75"/>
      <c r="C32" s="75"/>
      <c r="D32" s="14" t="s">
        <v>59</v>
      </c>
      <c r="E32" s="8" t="s">
        <v>137</v>
      </c>
      <c r="F32" s="14" t="s">
        <v>138</v>
      </c>
      <c r="G32" s="14" t="s">
        <v>150</v>
      </c>
      <c r="H32" s="14">
        <v>12.32</v>
      </c>
      <c r="I32" s="14">
        <v>3088</v>
      </c>
      <c r="J32" s="14">
        <v>88889</v>
      </c>
      <c r="K32" s="14">
        <v>85802</v>
      </c>
      <c r="L32" s="41">
        <f>36366/K32*100</f>
        <v>42.38362742127223</v>
      </c>
      <c r="M32" s="49">
        <f>33644/J32*100</f>
        <v>37.849452688184137</v>
      </c>
      <c r="N32" s="49">
        <v>37.870910000000002</v>
      </c>
      <c r="O32" s="49">
        <v>37.832450000000001</v>
      </c>
      <c r="P32" s="49">
        <v>37.762520000000002</v>
      </c>
      <c r="Q32" s="49">
        <v>37.53642</v>
      </c>
      <c r="R32" s="52">
        <f t="shared" si="0"/>
        <v>4.6132768836354048</v>
      </c>
      <c r="S32" s="53">
        <v>9.3058787143696924E-8</v>
      </c>
      <c r="T32" s="35"/>
      <c r="U32" s="56">
        <f>3533/K32*100</f>
        <v>4.1176196359059229</v>
      </c>
      <c r="V32" s="46">
        <f>2404/K32*100</f>
        <v>2.8017994918533367</v>
      </c>
      <c r="W32" s="46">
        <v>2.7132230000000002</v>
      </c>
      <c r="X32" s="46">
        <v>2.8903759999999998</v>
      </c>
      <c r="Y32" s="46">
        <v>2.864735</v>
      </c>
      <c r="Z32" s="46">
        <v>2.9043610000000002</v>
      </c>
      <c r="AA32" s="52">
        <f t="shared" si="1"/>
        <v>1.2827207375352561</v>
      </c>
      <c r="AB32" s="53">
        <v>1.6808459742193053E-6</v>
      </c>
    </row>
    <row r="33" spans="1:28" ht="30.75" customHeight="1">
      <c r="A33" s="75"/>
      <c r="B33" s="75"/>
      <c r="C33" s="75"/>
      <c r="D33" s="14" t="s">
        <v>60</v>
      </c>
      <c r="E33" s="8" t="s">
        <v>193</v>
      </c>
      <c r="F33" s="14" t="s">
        <v>114</v>
      </c>
      <c r="G33" s="15" t="s">
        <v>25</v>
      </c>
      <c r="H33" s="14">
        <v>40.98</v>
      </c>
      <c r="I33" s="14">
        <v>73369</v>
      </c>
      <c r="J33" s="14">
        <v>153237</v>
      </c>
      <c r="K33" s="14">
        <f>J33-I33+1</f>
        <v>79869</v>
      </c>
      <c r="L33" s="41">
        <f>30802/K33*100</f>
        <v>38.565651253928309</v>
      </c>
      <c r="M33" s="49">
        <f>28199/K33*100</f>
        <v>35.306564499367717</v>
      </c>
      <c r="N33" s="49">
        <v>35.295299999999997</v>
      </c>
      <c r="O33" s="49">
        <v>34.824530000000003</v>
      </c>
      <c r="P33" s="49">
        <v>35.32159</v>
      </c>
      <c r="Q33" s="49">
        <v>35.401719999999997</v>
      </c>
      <c r="R33" s="52">
        <f t="shared" si="0"/>
        <v>3.3357103540547657</v>
      </c>
      <c r="S33" s="53">
        <v>2.7157743599485149E-6</v>
      </c>
      <c r="T33" s="35"/>
      <c r="U33" s="56">
        <f>2165/K33*100</f>
        <v>2.7106887528327639</v>
      </c>
      <c r="V33" s="46">
        <f>1535/K33*100</f>
        <v>1.9218971065119135</v>
      </c>
      <c r="W33" s="46">
        <v>2.1973479999999999</v>
      </c>
      <c r="X33" s="46">
        <v>2.1359979999999998</v>
      </c>
      <c r="Y33" s="46">
        <v>1.9895080000000001</v>
      </c>
      <c r="Z33" s="46">
        <v>2.173559</v>
      </c>
      <c r="AA33" s="52">
        <f t="shared" si="1"/>
        <v>0.62702673153038124</v>
      </c>
      <c r="AB33" s="53">
        <v>1.595904114863688E-4</v>
      </c>
    </row>
    <row r="34" spans="1:28" ht="15.75">
      <c r="A34" s="75"/>
      <c r="B34" s="75"/>
      <c r="C34" s="75"/>
      <c r="D34" s="14" t="s">
        <v>62</v>
      </c>
      <c r="E34" s="8" t="s">
        <v>139</v>
      </c>
      <c r="F34" s="14" t="s">
        <v>140</v>
      </c>
      <c r="G34" s="14" t="s">
        <v>151</v>
      </c>
      <c r="H34" s="14">
        <v>40.47</v>
      </c>
      <c r="I34" s="14">
        <v>4068268</v>
      </c>
      <c r="J34" s="14">
        <v>4143998</v>
      </c>
      <c r="K34" s="14">
        <v>75731</v>
      </c>
      <c r="L34" s="41">
        <f>29787/K34*100</f>
        <v>39.33263788937159</v>
      </c>
      <c r="M34" s="49">
        <f>16245/K34*100</f>
        <v>21.450924984484558</v>
      </c>
      <c r="N34" s="49">
        <v>34.744030000000002</v>
      </c>
      <c r="O34" s="49">
        <v>34.965870000000002</v>
      </c>
      <c r="P34" s="49">
        <v>35.292020000000001</v>
      </c>
      <c r="Q34" s="49">
        <v>34.901159999999997</v>
      </c>
      <c r="R34" s="52">
        <f t="shared" si="0"/>
        <v>7.0618368924746786</v>
      </c>
      <c r="S34" s="53">
        <v>2.9732793565995737E-2</v>
      </c>
      <c r="T34" s="35"/>
      <c r="U34" s="56">
        <f>2459/K34*100</f>
        <v>3.2470190542842428</v>
      </c>
      <c r="V34" s="46">
        <f>1503/K34*100</f>
        <v>1.9846562174010645</v>
      </c>
      <c r="W34" s="46">
        <v>2.2553510000000001</v>
      </c>
      <c r="X34" s="46">
        <v>1.954286</v>
      </c>
      <c r="Y34" s="46">
        <v>1.861853</v>
      </c>
      <c r="Z34" s="46">
        <v>1.8644940000000001</v>
      </c>
      <c r="AA34" s="52">
        <f t="shared" si="1"/>
        <v>1.2628910108040301</v>
      </c>
      <c r="AB34" s="53">
        <v>3.1040959679685431E-5</v>
      </c>
    </row>
    <row r="35" spans="1:28" ht="31.5">
      <c r="A35" s="75"/>
      <c r="B35" s="75"/>
      <c r="C35" s="75"/>
      <c r="D35" s="14" t="s">
        <v>65</v>
      </c>
      <c r="E35" s="8" t="s">
        <v>26</v>
      </c>
      <c r="F35" s="14" t="s">
        <v>114</v>
      </c>
      <c r="G35" s="15" t="s">
        <v>27</v>
      </c>
      <c r="H35" s="15">
        <v>29.42</v>
      </c>
      <c r="I35" s="14">
        <v>3269687</v>
      </c>
      <c r="J35" s="14">
        <v>3344834</v>
      </c>
      <c r="K35" s="14">
        <v>75148</v>
      </c>
      <c r="L35" s="41">
        <f>27348/K35*100</f>
        <v>36.392186086123388</v>
      </c>
      <c r="M35" s="49">
        <f>26612/K35*100</f>
        <v>35.412785436738169</v>
      </c>
      <c r="N35" s="49">
        <v>34.473309999999998</v>
      </c>
      <c r="O35" s="49">
        <v>34.71949</v>
      </c>
      <c r="P35" s="49">
        <v>35.368870000000001</v>
      </c>
      <c r="Q35" s="49">
        <v>34.93506</v>
      </c>
      <c r="R35" s="52">
        <f t="shared" si="0"/>
        <v>1.4102829987757501</v>
      </c>
      <c r="S35" s="53">
        <v>7.5286528960571649E-4</v>
      </c>
      <c r="T35" s="35"/>
      <c r="U35" s="56">
        <f>1813/K35*100</f>
        <v>2.4125725235535209</v>
      </c>
      <c r="V35" s="46">
        <f>1510/K35*100</f>
        <v>2.0093681801245542</v>
      </c>
      <c r="W35" s="46">
        <v>1.9415020000000001</v>
      </c>
      <c r="X35" s="46">
        <v>2.0692499999999998</v>
      </c>
      <c r="Y35" s="46">
        <v>2.1278009999999998</v>
      </c>
      <c r="Z35" s="46">
        <v>2.1078410000000001</v>
      </c>
      <c r="AA35" s="52">
        <f t="shared" si="1"/>
        <v>0.36142008752861016</v>
      </c>
      <c r="AB35" s="53">
        <v>2.2292979670273215E-4</v>
      </c>
    </row>
    <row r="36" spans="1:28" ht="31.5">
      <c r="A36" s="75"/>
      <c r="B36" s="75"/>
      <c r="C36" s="75"/>
      <c r="D36" s="14" t="s">
        <v>68</v>
      </c>
      <c r="E36" s="8" t="s">
        <v>29</v>
      </c>
      <c r="F36" s="14" t="s">
        <v>141</v>
      </c>
      <c r="G36" s="15" t="s">
        <v>30</v>
      </c>
      <c r="H36" s="15">
        <v>19.05</v>
      </c>
      <c r="I36" s="14">
        <v>49387</v>
      </c>
      <c r="J36" s="14">
        <v>116359</v>
      </c>
      <c r="K36" s="14">
        <v>66973</v>
      </c>
      <c r="L36" s="41">
        <f>27049/K36*100</f>
        <v>40.387917519000197</v>
      </c>
      <c r="M36" s="49">
        <f>23891/K36*100</f>
        <v>35.672584474340411</v>
      </c>
      <c r="N36" s="49">
        <v>34.755800000000001</v>
      </c>
      <c r="O36" s="49">
        <v>34.467619999999997</v>
      </c>
      <c r="P36" s="49">
        <v>35.046959999999999</v>
      </c>
      <c r="Q36" s="49">
        <v>34.10031</v>
      </c>
      <c r="R36" s="52">
        <f t="shared" si="0"/>
        <v>5.5792626241321157</v>
      </c>
      <c r="S36" s="53">
        <v>1.5459279260663563E-5</v>
      </c>
      <c r="T36" s="35"/>
      <c r="U36" s="56">
        <f>2317/K36*100</f>
        <v>3.4596031236468425</v>
      </c>
      <c r="V36" s="46">
        <f>1255/K36*100</f>
        <v>1.8738894778492825</v>
      </c>
      <c r="W36" s="46">
        <v>2.0008059999999999</v>
      </c>
      <c r="X36" s="46">
        <v>2.0217100000000001</v>
      </c>
      <c r="Y36" s="46">
        <v>2.0261900000000002</v>
      </c>
      <c r="Z36" s="46">
        <v>1.8858349999999999</v>
      </c>
      <c r="AA36" s="52">
        <f t="shared" si="1"/>
        <v>1.497917028076986</v>
      </c>
      <c r="AB36" s="53">
        <v>7.6881350683317901E-7</v>
      </c>
    </row>
    <row r="37" spans="1:28" ht="31.5">
      <c r="A37" s="62" t="s">
        <v>146</v>
      </c>
      <c r="B37" s="62"/>
      <c r="C37" s="62"/>
      <c r="D37" s="14" t="s">
        <v>70</v>
      </c>
      <c r="E37" s="8" t="s">
        <v>32</v>
      </c>
      <c r="F37" s="14" t="s">
        <v>142</v>
      </c>
      <c r="G37" s="15" t="s">
        <v>33</v>
      </c>
      <c r="H37" s="15">
        <v>2.5</v>
      </c>
      <c r="I37" s="14">
        <v>26646</v>
      </c>
      <c r="J37" s="14">
        <v>89713</v>
      </c>
      <c r="K37" s="14">
        <v>63068</v>
      </c>
      <c r="L37" s="41">
        <f>25311/K37*100</f>
        <v>40.132872455127796</v>
      </c>
      <c r="M37" s="49">
        <f>22434/K37*100</f>
        <v>35.571129574427601</v>
      </c>
      <c r="N37" s="49">
        <v>34.963850000000001</v>
      </c>
      <c r="O37" s="49">
        <v>35.231810000000003</v>
      </c>
      <c r="P37" s="49">
        <v>34.55001</v>
      </c>
      <c r="Q37" s="49">
        <v>35.128749999999997</v>
      </c>
      <c r="R37" s="52">
        <f t="shared" si="0"/>
        <v>5.0437625402422785</v>
      </c>
      <c r="S37" s="53">
        <v>3.6154296357465119E-6</v>
      </c>
      <c r="T37" s="35"/>
      <c r="U37" s="56">
        <f>1660/K37*100</f>
        <v>2.6320796600494702</v>
      </c>
      <c r="V37" s="46">
        <f>1400/K37*100</f>
        <v>2.2198262193188305</v>
      </c>
      <c r="W37" s="46">
        <v>2.0454110000000001</v>
      </c>
      <c r="X37" s="46">
        <v>2.062853</v>
      </c>
      <c r="Y37" s="46">
        <v>2.105664</v>
      </c>
      <c r="Z37" s="46">
        <v>2.0454110000000001</v>
      </c>
      <c r="AA37" s="52">
        <f t="shared" si="1"/>
        <v>0.53624661618570391</v>
      </c>
      <c r="AB37" s="53">
        <v>4.1441563873959961E-5</v>
      </c>
    </row>
    <row r="38" spans="1:28" ht="31.5">
      <c r="A38" s="62"/>
      <c r="B38" s="62"/>
      <c r="C38" s="62"/>
      <c r="D38" s="14" t="s">
        <v>73</v>
      </c>
      <c r="E38" s="8" t="s">
        <v>35</v>
      </c>
      <c r="F38" s="14" t="s">
        <v>114</v>
      </c>
      <c r="G38" s="15" t="s">
        <v>36</v>
      </c>
      <c r="H38" s="15">
        <v>34.21</v>
      </c>
      <c r="I38" s="14">
        <v>4851386</v>
      </c>
      <c r="J38" s="14">
        <v>4919783</v>
      </c>
      <c r="K38" s="14">
        <v>68398</v>
      </c>
      <c r="L38" s="41">
        <f>41033/K38*100</f>
        <v>59.991520219889473</v>
      </c>
      <c r="M38" s="49">
        <f>34194/K38*100</f>
        <v>49.992689844732304</v>
      </c>
      <c r="N38" s="49">
        <v>48.638849999999998</v>
      </c>
      <c r="O38" s="49">
        <v>48.555509999999998</v>
      </c>
      <c r="P38" s="49">
        <v>48.507269999999998</v>
      </c>
      <c r="Q38" s="49">
        <v>48.422469999999997</v>
      </c>
      <c r="R38" s="52">
        <f t="shared" si="0"/>
        <v>11.168162250943004</v>
      </c>
      <c r="S38" s="53">
        <v>1.4424325827125349E-6</v>
      </c>
      <c r="T38" s="35"/>
      <c r="U38" s="56">
        <f>12833/K38*100</f>
        <v>18.762244510073394</v>
      </c>
      <c r="V38" s="46">
        <f>4824/K38*100</f>
        <v>7.0528378022749205</v>
      </c>
      <c r="W38" s="46">
        <v>6.4665629999999998</v>
      </c>
      <c r="X38" s="46">
        <v>6.6142279999999998</v>
      </c>
      <c r="Y38" s="46">
        <v>6.4329369999999999</v>
      </c>
      <c r="Z38" s="46">
        <v>6.122986</v>
      </c>
      <c r="AA38" s="52">
        <f t="shared" si="1"/>
        <v>12.224334149618411</v>
      </c>
      <c r="AB38" s="53">
        <v>7.0763253397794056E-8</v>
      </c>
    </row>
    <row r="39" spans="1:28" ht="15.75">
      <c r="A39" s="62"/>
      <c r="B39" s="62"/>
      <c r="C39" s="62"/>
      <c r="D39" s="14" t="s">
        <v>152</v>
      </c>
      <c r="E39" s="8" t="s">
        <v>38</v>
      </c>
      <c r="F39" s="14" t="s">
        <v>94</v>
      </c>
      <c r="G39" s="15" t="s">
        <v>39</v>
      </c>
      <c r="H39" s="15">
        <v>27.01</v>
      </c>
      <c r="I39" s="14">
        <v>54398</v>
      </c>
      <c r="J39" s="14">
        <v>131483</v>
      </c>
      <c r="K39" s="14">
        <v>77086</v>
      </c>
      <c r="L39" s="41">
        <f>37573/K39*100</f>
        <v>48.74166515320551</v>
      </c>
      <c r="M39" s="49">
        <f>27860/K39*100</f>
        <v>36.141452403808735</v>
      </c>
      <c r="N39" s="49">
        <v>35.700389999999999</v>
      </c>
      <c r="O39" s="49">
        <v>35.726329999999997</v>
      </c>
      <c r="P39" s="49">
        <v>35.924810000000001</v>
      </c>
      <c r="Q39" s="49">
        <v>36.023400000000002</v>
      </c>
      <c r="R39" s="52">
        <f t="shared" si="0"/>
        <v>12.838388672443761</v>
      </c>
      <c r="S39" s="53">
        <v>5.7304015918382905E-9</v>
      </c>
      <c r="T39" s="35"/>
      <c r="U39" s="56">
        <f>6945/K39*100</f>
        <v>9.0094180525646674</v>
      </c>
      <c r="V39" s="46">
        <f>1674/K39*100</f>
        <v>2.1716005500350257</v>
      </c>
      <c r="W39" s="46">
        <v>2.206626</v>
      </c>
      <c r="X39" s="46">
        <v>2.01593</v>
      </c>
      <c r="Y39" s="46">
        <v>2.1832760000000002</v>
      </c>
      <c r="Z39" s="46">
        <v>2.1223049999999999</v>
      </c>
      <c r="AA39" s="52">
        <f t="shared" si="1"/>
        <v>6.8694705425576625</v>
      </c>
      <c r="AB39" s="53">
        <v>1.7839844586853768E-9</v>
      </c>
    </row>
    <row r="40" spans="1:28" ht="31.5">
      <c r="A40" s="62"/>
      <c r="B40" s="62"/>
      <c r="C40" s="62"/>
      <c r="D40" s="14" t="s">
        <v>153</v>
      </c>
      <c r="E40" s="8" t="s">
        <v>41</v>
      </c>
      <c r="F40" s="14" t="s">
        <v>43</v>
      </c>
      <c r="G40" s="15" t="s">
        <v>42</v>
      </c>
      <c r="H40" s="15">
        <v>0.98</v>
      </c>
      <c r="I40" s="14">
        <v>45658</v>
      </c>
      <c r="J40" s="14">
        <v>112781</v>
      </c>
      <c r="K40" s="14">
        <f>J40-I40+1</f>
        <v>67124</v>
      </c>
      <c r="L40" s="41">
        <f>30262/K40*100</f>
        <v>45.083725642095231</v>
      </c>
      <c r="M40" s="49">
        <f>29215/K40*100</f>
        <v>43.523925868541802</v>
      </c>
      <c r="N40" s="49">
        <v>42.265059999999998</v>
      </c>
      <c r="O40" s="49">
        <v>42.838630000000002</v>
      </c>
      <c r="P40" s="49">
        <v>41.907510000000002</v>
      </c>
      <c r="Q40" s="49">
        <v>42.501939999999998</v>
      </c>
      <c r="R40" s="52">
        <f t="shared" si="0"/>
        <v>2.4763124683868738</v>
      </c>
      <c r="S40" s="53">
        <v>4.2060378479052578E-4</v>
      </c>
      <c r="T40" s="35"/>
      <c r="U40" s="56">
        <f>2862/K40*100</f>
        <v>4.2637506704010484</v>
      </c>
      <c r="V40" s="46">
        <f>2675/K40*100</f>
        <v>3.9851617901197782</v>
      </c>
      <c r="W40" s="46">
        <v>4.2458729999999996</v>
      </c>
      <c r="X40" s="46">
        <v>4.250343</v>
      </c>
      <c r="Y40" s="46">
        <v>3.946428</v>
      </c>
      <c r="Z40" s="46">
        <v>4.1400990000000002</v>
      </c>
      <c r="AA40" s="52">
        <f t="shared" si="1"/>
        <v>0.15016971237709242</v>
      </c>
      <c r="AB40" s="53">
        <v>3.9054362003310791E-2</v>
      </c>
    </row>
    <row r="41" spans="1:28" ht="31.5">
      <c r="A41" s="62"/>
      <c r="B41" s="62"/>
      <c r="C41" s="62"/>
      <c r="D41" s="14" t="s">
        <v>154</v>
      </c>
      <c r="E41" s="8" t="s">
        <v>45</v>
      </c>
      <c r="F41" s="14" t="s">
        <v>102</v>
      </c>
      <c r="G41" s="15" t="s">
        <v>46</v>
      </c>
      <c r="H41" s="15">
        <v>32.35</v>
      </c>
      <c r="I41" s="14">
        <v>202413</v>
      </c>
      <c r="J41" s="14">
        <v>269458</v>
      </c>
      <c r="K41" s="14">
        <v>67046</v>
      </c>
      <c r="L41" s="41">
        <f>28869/K41*100</f>
        <v>43.058497151209622</v>
      </c>
      <c r="M41" s="49">
        <f>24675/K41*100</f>
        <v>36.8030904155356</v>
      </c>
      <c r="N41" s="49">
        <v>36.804580000000001</v>
      </c>
      <c r="O41" s="49">
        <v>36.570410000000003</v>
      </c>
      <c r="P41" s="49">
        <v>37.082000000000001</v>
      </c>
      <c r="Q41" s="49">
        <v>36.606209999999997</v>
      </c>
      <c r="R41" s="52">
        <f t="shared" si="0"/>
        <v>6.2852390681024985</v>
      </c>
      <c r="S41" s="53">
        <v>1.3263627666751823E-7</v>
      </c>
      <c r="T41" s="35"/>
      <c r="U41" s="56">
        <f>4507/K41*100</f>
        <v>6.7222503952510211</v>
      </c>
      <c r="V41" s="46">
        <f>1409/K41*100</f>
        <v>2.1015422247412223</v>
      </c>
      <c r="W41" s="46">
        <v>2.5639110000000001</v>
      </c>
      <c r="X41" s="46">
        <v>2.5475050000000001</v>
      </c>
      <c r="Y41" s="46">
        <v>2.6295380000000002</v>
      </c>
      <c r="Z41" s="46">
        <v>2.471438</v>
      </c>
      <c r="AA41" s="52">
        <f t="shared" si="1"/>
        <v>4.2594635503027769</v>
      </c>
      <c r="AB41" s="53">
        <v>7.0175871084127305E-7</v>
      </c>
    </row>
    <row r="42" spans="1:28" ht="15.75">
      <c r="A42" s="76" t="s">
        <v>147</v>
      </c>
      <c r="B42" s="76"/>
      <c r="C42" s="76"/>
      <c r="D42" s="14" t="s">
        <v>155</v>
      </c>
      <c r="E42" s="8" t="s">
        <v>48</v>
      </c>
      <c r="F42" s="14" t="s">
        <v>43</v>
      </c>
      <c r="G42" s="15" t="s">
        <v>49</v>
      </c>
      <c r="H42" s="15">
        <v>5.13</v>
      </c>
      <c r="I42" s="14">
        <v>3878856</v>
      </c>
      <c r="J42" s="14">
        <v>3946839</v>
      </c>
      <c r="K42" s="14">
        <v>67984</v>
      </c>
      <c r="L42" s="41">
        <f>25090/K42*100</f>
        <v>36.905742527653565</v>
      </c>
      <c r="M42" s="49">
        <f>24330/K42*100</f>
        <v>35.787832431160268</v>
      </c>
      <c r="N42" s="49">
        <v>35.842260000000003</v>
      </c>
      <c r="O42" s="49">
        <v>34.943519999999999</v>
      </c>
      <c r="P42" s="49">
        <v>34.758180000000003</v>
      </c>
      <c r="Q42" s="49">
        <v>34.644919999999999</v>
      </c>
      <c r="R42" s="52">
        <f t="shared" si="0"/>
        <v>1.7104000414215021</v>
      </c>
      <c r="S42" s="53">
        <v>1.3349499270939383E-3</v>
      </c>
      <c r="T42" s="35"/>
      <c r="U42" s="56">
        <f>1488/K42*100</f>
        <v>2.1887502941868675</v>
      </c>
      <c r="V42" s="46">
        <f>1199/K42*100</f>
        <v>1.7636502706519182</v>
      </c>
      <c r="W42" s="46">
        <v>2.0284179999999998</v>
      </c>
      <c r="X42" s="46">
        <v>2.0034130000000001</v>
      </c>
      <c r="Y42" s="46">
        <v>2.09314</v>
      </c>
      <c r="Z42" s="46">
        <v>2.1019649999999999</v>
      </c>
      <c r="AA42" s="52">
        <f t="shared" si="1"/>
        <v>0.19063304005648404</v>
      </c>
      <c r="AB42" s="53">
        <v>1.8147659586175886E-2</v>
      </c>
    </row>
    <row r="43" spans="1:28" ht="33.75" customHeight="1">
      <c r="A43" s="76"/>
      <c r="B43" s="76"/>
      <c r="C43" s="76"/>
      <c r="D43" s="14" t="s">
        <v>156</v>
      </c>
      <c r="E43" s="8" t="s">
        <v>194</v>
      </c>
      <c r="F43" s="14" t="s">
        <v>43</v>
      </c>
      <c r="G43" s="15" t="s">
        <v>189</v>
      </c>
      <c r="H43" s="15">
        <v>1.81</v>
      </c>
      <c r="I43" s="14">
        <v>500000</v>
      </c>
      <c r="J43" s="14">
        <v>570000</v>
      </c>
      <c r="K43" s="14">
        <f>J43-I43+1</f>
        <v>70001</v>
      </c>
      <c r="L43" s="41">
        <f>27666/K43*100</f>
        <v>39.522292538678016</v>
      </c>
      <c r="M43" s="49">
        <f>26035/K43*100</f>
        <v>37.192325823916796</v>
      </c>
      <c r="N43" s="49">
        <v>36.735190000000003</v>
      </c>
      <c r="O43" s="49">
        <v>36.806620000000002</v>
      </c>
      <c r="P43" s="49">
        <v>36.395189999999999</v>
      </c>
      <c r="Q43" s="49">
        <v>36.519480000000001</v>
      </c>
      <c r="R43" s="52">
        <f t="shared" si="0"/>
        <v>2.7925313738946556</v>
      </c>
      <c r="S43" s="53">
        <v>1.7164518415210425E-5</v>
      </c>
      <c r="T43" s="35"/>
      <c r="U43" s="56">
        <f>2046/K43*100</f>
        <v>2.9228153883515953</v>
      </c>
      <c r="V43" s="46">
        <f>1819/K43*100</f>
        <v>2.5985343066527622</v>
      </c>
      <c r="W43" s="46">
        <v>2.407108</v>
      </c>
      <c r="X43" s="46">
        <v>2.411394</v>
      </c>
      <c r="Y43" s="46">
        <v>2.4742500000000001</v>
      </c>
      <c r="Z43" s="46">
        <v>2.4099659999999998</v>
      </c>
      <c r="AA43" s="52">
        <f t="shared" si="1"/>
        <v>0.46256492702104313</v>
      </c>
      <c r="AB43" s="53">
        <v>1.1504655358348696E-4</v>
      </c>
    </row>
    <row r="44" spans="1:28" ht="31.5">
      <c r="A44" s="76"/>
      <c r="B44" s="76"/>
      <c r="C44" s="76"/>
      <c r="D44" s="14" t="s">
        <v>157</v>
      </c>
      <c r="E44" s="8" t="s">
        <v>195</v>
      </c>
      <c r="F44" s="14" t="s">
        <v>43</v>
      </c>
      <c r="G44" s="15" t="s">
        <v>188</v>
      </c>
      <c r="H44" s="15">
        <v>2.2599999999999998</v>
      </c>
      <c r="I44" s="14">
        <v>591122</v>
      </c>
      <c r="J44" s="14">
        <v>687721</v>
      </c>
      <c r="K44" s="14">
        <f>J44-I44+1</f>
        <v>96600</v>
      </c>
      <c r="L44" s="41">
        <f>38068/K44*100</f>
        <v>39.407867494824018</v>
      </c>
      <c r="M44" s="49">
        <f>35720/K44*100</f>
        <v>36.977225672877843</v>
      </c>
      <c r="N44" s="49">
        <v>37.231879999999997</v>
      </c>
      <c r="O44" s="49">
        <v>36.026919999999997</v>
      </c>
      <c r="P44" s="49">
        <v>36.509320000000002</v>
      </c>
      <c r="Q44" s="49">
        <v>36.481369999999998</v>
      </c>
      <c r="R44" s="52">
        <f t="shared" si="0"/>
        <v>2.7625243602484488</v>
      </c>
      <c r="S44" s="53">
        <v>9.6434739144927398E-5</v>
      </c>
      <c r="T44" s="35"/>
      <c r="U44" s="56">
        <f>2581/K44*100</f>
        <v>2.6718426501035197</v>
      </c>
      <c r="V44" s="46">
        <f>2183/K44*100</f>
        <v>2.2598343685300204</v>
      </c>
      <c r="W44" s="46">
        <v>2.5414080000000001</v>
      </c>
      <c r="X44" s="46">
        <v>2.1552799999999999</v>
      </c>
      <c r="Y44" s="46">
        <v>2.2608700000000002</v>
      </c>
      <c r="Z44" s="46">
        <v>2.3126289999999998</v>
      </c>
      <c r="AA44" s="52">
        <f t="shared" si="1"/>
        <v>0.3658383763975156</v>
      </c>
      <c r="AB44" s="53">
        <v>2.3387207043355724E-3</v>
      </c>
    </row>
    <row r="45" spans="1:28" ht="15.75">
      <c r="A45" s="76"/>
      <c r="B45" s="76"/>
      <c r="C45" s="76"/>
      <c r="D45" s="14" t="s">
        <v>158</v>
      </c>
      <c r="E45" s="8" t="s">
        <v>53</v>
      </c>
      <c r="F45" s="14" t="s">
        <v>43</v>
      </c>
      <c r="G45" s="15" t="s">
        <v>54</v>
      </c>
      <c r="H45" s="15">
        <v>1.27</v>
      </c>
      <c r="I45" s="14">
        <v>358183</v>
      </c>
      <c r="J45" s="14">
        <v>437569</v>
      </c>
      <c r="K45" s="14">
        <v>79387</v>
      </c>
      <c r="L45" s="41">
        <f>34799/K45*100</f>
        <v>43.834632874400093</v>
      </c>
      <c r="M45" s="49">
        <f>32809/K45*100</f>
        <v>41.32792522705229</v>
      </c>
      <c r="N45" s="49">
        <v>40.730849999999997</v>
      </c>
      <c r="O45" s="49">
        <v>40.424750000000003</v>
      </c>
      <c r="P45" s="49">
        <v>40.332799999999999</v>
      </c>
      <c r="Q45" s="49">
        <v>40.28745</v>
      </c>
      <c r="R45" s="52">
        <f t="shared" si="0"/>
        <v>3.2138778289896321</v>
      </c>
      <c r="S45" s="53">
        <v>3.8060132853051895E-5</v>
      </c>
      <c r="T45" s="35"/>
      <c r="U45" s="56">
        <f>3484/K45*100</f>
        <v>4.388627860984796</v>
      </c>
      <c r="V45" s="46">
        <f>2615/K45*100</f>
        <v>3.2939901999067858</v>
      </c>
      <c r="W45" s="46">
        <v>3.6328369999999999</v>
      </c>
      <c r="X45" s="46">
        <v>3.431292</v>
      </c>
      <c r="Y45" s="46">
        <v>3.597566</v>
      </c>
      <c r="Z45" s="46">
        <v>3.6252789999999999</v>
      </c>
      <c r="AA45" s="52">
        <f t="shared" si="1"/>
        <v>0.8724350210034395</v>
      </c>
      <c r="AB45" s="53">
        <v>9.8035163963133834E-5</v>
      </c>
    </row>
    <row r="46" spans="1:28" ht="31.5">
      <c r="A46" s="76"/>
      <c r="B46" s="76"/>
      <c r="C46" s="76"/>
      <c r="D46" s="14" t="s">
        <v>159</v>
      </c>
      <c r="E46" s="8" t="s">
        <v>196</v>
      </c>
      <c r="F46" s="14" t="s">
        <v>43</v>
      </c>
      <c r="G46" s="15" t="s">
        <v>191</v>
      </c>
      <c r="H46" s="15">
        <v>3.69</v>
      </c>
      <c r="I46" s="14">
        <v>501198</v>
      </c>
      <c r="J46" s="14">
        <v>582389</v>
      </c>
      <c r="K46" s="14">
        <f>J46-I46+1</f>
        <v>81192</v>
      </c>
      <c r="L46" s="41">
        <f>32887/K46*100</f>
        <v>40.505222189378266</v>
      </c>
      <c r="M46" s="49">
        <f>31706/K46*100</f>
        <v>39.050645383781649</v>
      </c>
      <c r="N46" s="49">
        <v>37.919989999999999</v>
      </c>
      <c r="O46" s="49">
        <v>37.800519999999999</v>
      </c>
      <c r="P46" s="49">
        <v>37.662579999999998</v>
      </c>
      <c r="Q46" s="49">
        <v>38.018520000000002</v>
      </c>
      <c r="R46" s="52">
        <f t="shared" si="0"/>
        <v>2.4147711126219349</v>
      </c>
      <c r="S46" s="53">
        <v>3.0822912724828589E-4</v>
      </c>
      <c r="T46" s="35"/>
      <c r="U46" s="56">
        <f>2568/K46*100</f>
        <v>3.1628731894767954</v>
      </c>
      <c r="V46" s="46">
        <f>2381/K46*100</f>
        <v>2.9325549315203467</v>
      </c>
      <c r="W46" s="46">
        <v>2.952261</v>
      </c>
      <c r="X46" s="46">
        <v>2.9497979999999999</v>
      </c>
      <c r="Y46" s="46">
        <v>3.074195</v>
      </c>
      <c r="Z46" s="46">
        <v>3.0236969999999999</v>
      </c>
      <c r="AA46" s="52">
        <f t="shared" si="1"/>
        <v>0.176372003172726</v>
      </c>
      <c r="AB46" s="53">
        <v>1.4048607396946698E-3</v>
      </c>
    </row>
    <row r="47" spans="1:28" ht="31.5">
      <c r="A47" s="76"/>
      <c r="B47" s="76"/>
      <c r="C47" s="76"/>
      <c r="D47" s="14" t="s">
        <v>160</v>
      </c>
      <c r="E47" s="8" t="s">
        <v>57</v>
      </c>
      <c r="F47" s="14" t="s">
        <v>43</v>
      </c>
      <c r="G47" s="15" t="s">
        <v>58</v>
      </c>
      <c r="H47" s="15">
        <v>0.82</v>
      </c>
      <c r="I47" s="14">
        <v>132473</v>
      </c>
      <c r="J47" s="14">
        <v>200998</v>
      </c>
      <c r="K47" s="14">
        <v>68526</v>
      </c>
      <c r="L47" s="41">
        <f>30226/K47*100</f>
        <v>44.108805416922046</v>
      </c>
      <c r="M47" s="49">
        <f>28244/K47*100</f>
        <v>41.21647257975075</v>
      </c>
      <c r="N47" s="49">
        <v>40.067999999999998</v>
      </c>
      <c r="O47" s="49">
        <v>40.850189999999998</v>
      </c>
      <c r="P47" s="49">
        <v>40.321919999999999</v>
      </c>
      <c r="Q47" s="49">
        <v>40.517470000000003</v>
      </c>
      <c r="R47" s="52">
        <f t="shared" si="0"/>
        <v>3.5139949009718974</v>
      </c>
      <c r="S47" s="53">
        <v>3.1552356637180988E-5</v>
      </c>
      <c r="T47" s="35"/>
      <c r="U47" s="56">
        <f>3321/K47*100</f>
        <v>4.8463356973995273</v>
      </c>
      <c r="V47" s="46">
        <f>2502/K47*100</f>
        <v>3.65116889939585</v>
      </c>
      <c r="W47" s="46">
        <v>3.584041</v>
      </c>
      <c r="X47" s="46">
        <v>4.0422609999999999</v>
      </c>
      <c r="Y47" s="46">
        <v>3.3666049999999998</v>
      </c>
      <c r="Z47" s="46">
        <v>3.6132270000000002</v>
      </c>
      <c r="AA47" s="52">
        <f t="shared" si="1"/>
        <v>1.1948751175203576</v>
      </c>
      <c r="AB47" s="53">
        <v>2.0035585623606649E-4</v>
      </c>
    </row>
    <row r="48" spans="1:28" ht="33" customHeight="1">
      <c r="A48" s="76"/>
      <c r="B48" s="76"/>
      <c r="C48" s="76"/>
      <c r="D48" s="14" t="s">
        <v>161</v>
      </c>
      <c r="E48" s="8" t="s">
        <v>197</v>
      </c>
      <c r="F48" s="14" t="s">
        <v>43</v>
      </c>
      <c r="G48" s="15" t="s">
        <v>190</v>
      </c>
      <c r="H48" s="15">
        <v>1.69</v>
      </c>
      <c r="I48" s="14">
        <v>413849</v>
      </c>
      <c r="J48" s="14">
        <v>499295</v>
      </c>
      <c r="K48" s="14">
        <f>J48-I48+1</f>
        <v>85447</v>
      </c>
      <c r="L48" s="41">
        <f>37868/K48*100</f>
        <v>44.317530164897541</v>
      </c>
      <c r="M48" s="49">
        <f>33088/K48*100</f>
        <v>38.723419195524713</v>
      </c>
      <c r="N48" s="49">
        <v>37.914729999999999</v>
      </c>
      <c r="O48" s="49">
        <v>37.952179999999998</v>
      </c>
      <c r="P48" s="49">
        <v>37.224240000000002</v>
      </c>
      <c r="Q48" s="49">
        <v>37.68535</v>
      </c>
      <c r="R48" s="52">
        <f t="shared" si="0"/>
        <v>6.4175463257925971</v>
      </c>
      <c r="S48" s="53">
        <v>6.1363247995787385E-6</v>
      </c>
      <c r="T48" s="35"/>
      <c r="U48" s="56">
        <f>3345/K48*100</f>
        <v>3.9147073624586</v>
      </c>
      <c r="V48" s="46">
        <f>2548/K48*100</f>
        <v>2.9819654288623361</v>
      </c>
      <c r="W48" s="46">
        <v>2.742051</v>
      </c>
      <c r="X48" s="46">
        <v>2.7174740000000002</v>
      </c>
      <c r="Y48" s="46">
        <v>2.3277589999999999</v>
      </c>
      <c r="Z48" s="46">
        <v>2.615656</v>
      </c>
      <c r="AA48" s="52">
        <f t="shared" si="1"/>
        <v>1.2377262766861326</v>
      </c>
      <c r="AB48" s="53">
        <v>1.5362926131928025E-4</v>
      </c>
    </row>
    <row r="49" spans="1:28" ht="31.5">
      <c r="A49" s="76"/>
      <c r="B49" s="76"/>
      <c r="C49" s="76"/>
      <c r="D49" s="14" t="s">
        <v>162</v>
      </c>
      <c r="E49" s="8" t="s">
        <v>143</v>
      </c>
      <c r="F49" s="14" t="s">
        <v>43</v>
      </c>
      <c r="G49" s="15" t="s">
        <v>61</v>
      </c>
      <c r="H49" s="15">
        <v>1.74</v>
      </c>
      <c r="I49" s="14">
        <v>1592254</v>
      </c>
      <c r="J49" s="14">
        <v>1678093</v>
      </c>
      <c r="K49" s="14">
        <v>85840</v>
      </c>
      <c r="L49" s="41">
        <f>37355/K49*100</f>
        <v>43.517008387698041</v>
      </c>
      <c r="M49" s="49">
        <f>30581/K49*100</f>
        <v>35.625582479030754</v>
      </c>
      <c r="N49" s="49">
        <v>35.67801</v>
      </c>
      <c r="O49" s="49">
        <v>35.015140000000002</v>
      </c>
      <c r="P49" s="49">
        <v>35.199210000000001</v>
      </c>
      <c r="Q49" s="49">
        <v>35.026789999999998</v>
      </c>
      <c r="R49" s="52">
        <f t="shared" si="0"/>
        <v>8.2080618918918908</v>
      </c>
      <c r="S49" s="53">
        <v>2.8322924547190624E-7</v>
      </c>
      <c r="T49" s="35"/>
      <c r="U49" s="56">
        <f>3130/K49*100</f>
        <v>3.646318732525629</v>
      </c>
      <c r="V49" s="46">
        <f>1724/K49*100</f>
        <v>2.0083876980428705</v>
      </c>
      <c r="W49" s="46">
        <v>2.0631409999999999</v>
      </c>
      <c r="X49" s="46">
        <v>1.9128609999999999</v>
      </c>
      <c r="Y49" s="46">
        <v>2.0386769999999999</v>
      </c>
      <c r="Z49" s="46">
        <v>2.0107179999999998</v>
      </c>
      <c r="AA49" s="52">
        <f t="shared" si="1"/>
        <v>1.6395617929170556</v>
      </c>
      <c r="AB49" s="53">
        <v>1.760059418515472E-7</v>
      </c>
    </row>
    <row r="50" spans="1:28" ht="31.5">
      <c r="A50" s="74" t="s">
        <v>148</v>
      </c>
      <c r="B50" s="74"/>
      <c r="C50" s="74"/>
      <c r="D50" s="14" t="s">
        <v>163</v>
      </c>
      <c r="E50" s="8" t="s">
        <v>63</v>
      </c>
      <c r="F50" s="14" t="s">
        <v>43</v>
      </c>
      <c r="G50" s="15" t="s">
        <v>64</v>
      </c>
      <c r="H50" s="15">
        <v>1.57</v>
      </c>
      <c r="I50" s="14">
        <v>1145401</v>
      </c>
      <c r="J50" s="14">
        <v>1202397</v>
      </c>
      <c r="K50" s="14">
        <v>56997</v>
      </c>
      <c r="L50" s="41">
        <f>27828/K50*100</f>
        <v>48.823622295910312</v>
      </c>
      <c r="M50" s="49">
        <f>23594/K50*100</f>
        <v>41.395161148832393</v>
      </c>
      <c r="N50" s="49">
        <v>40.644240000000003</v>
      </c>
      <c r="O50" s="49">
        <v>40.640740000000001</v>
      </c>
      <c r="P50" s="49">
        <v>40.370550000000001</v>
      </c>
      <c r="Q50" s="49">
        <v>39.937190000000001</v>
      </c>
      <c r="R50" s="52">
        <f t="shared" si="0"/>
        <v>8.2260460661438284</v>
      </c>
      <c r="S50" s="53">
        <v>2.0719414932723165E-6</v>
      </c>
      <c r="T50" s="35"/>
      <c r="U50" s="56">
        <f>3533/K50*100</f>
        <v>6.1985718546590167</v>
      </c>
      <c r="V50" s="46">
        <f>2067/K50*100</f>
        <v>3.6265066582451713</v>
      </c>
      <c r="W50" s="46">
        <v>3.8440620000000001</v>
      </c>
      <c r="X50" s="46">
        <v>3.359826</v>
      </c>
      <c r="Y50" s="46">
        <v>3.9230130000000001</v>
      </c>
      <c r="Z50" s="46">
        <v>3.273857</v>
      </c>
      <c r="AA50" s="52">
        <f t="shared" si="1"/>
        <v>2.5931189230099818</v>
      </c>
      <c r="AB50" s="53">
        <v>1.7612875032725332E-5</v>
      </c>
    </row>
    <row r="51" spans="1:28" ht="32.25" customHeight="1">
      <c r="A51" s="74"/>
      <c r="B51" s="74"/>
      <c r="C51" s="74"/>
      <c r="D51" s="14" t="s">
        <v>164</v>
      </c>
      <c r="E51" s="8" t="s">
        <v>66</v>
      </c>
      <c r="F51" s="14" t="s">
        <v>43</v>
      </c>
      <c r="G51" s="15" t="s">
        <v>67</v>
      </c>
      <c r="H51" s="15">
        <v>2.69</v>
      </c>
      <c r="I51" s="14">
        <v>1719268</v>
      </c>
      <c r="J51" s="14">
        <v>1790799</v>
      </c>
      <c r="K51" s="14">
        <v>71532</v>
      </c>
      <c r="L51" s="41">
        <f>31514/K51*100</f>
        <v>44.055807191187164</v>
      </c>
      <c r="M51" s="49">
        <f>28865/K51*100</f>
        <v>40.352569479393836</v>
      </c>
      <c r="N51" s="49">
        <v>39.02449</v>
      </c>
      <c r="O51" s="49">
        <v>39.410330000000002</v>
      </c>
      <c r="P51" s="49">
        <v>39.523569999999999</v>
      </c>
      <c r="Q51" s="49">
        <v>39.288710000000002</v>
      </c>
      <c r="R51" s="52">
        <f t="shared" si="0"/>
        <v>4.5358732953083969</v>
      </c>
      <c r="S51" s="53">
        <v>1.7581550062512493E-5</v>
      </c>
      <c r="T51" s="35"/>
      <c r="U51" s="56">
        <f>2247/K51*100</f>
        <v>3.1412514678745174</v>
      </c>
      <c r="V51" s="46">
        <f>2132/K51*100</f>
        <v>2.9804842587932674</v>
      </c>
      <c r="W51" s="46">
        <v>3.0573730000000001</v>
      </c>
      <c r="X51" s="46">
        <v>3.2083539999999999</v>
      </c>
      <c r="Y51" s="46">
        <v>3.0140359999999999</v>
      </c>
      <c r="Z51" s="46">
        <v>3.3607339999999999</v>
      </c>
      <c r="AA51" s="52">
        <f t="shared" si="1"/>
        <v>1.7055216115863914E-2</v>
      </c>
      <c r="AB51" s="53">
        <v>0.41075548479645485</v>
      </c>
    </row>
    <row r="52" spans="1:28" ht="47.25">
      <c r="A52" s="77" t="s">
        <v>149</v>
      </c>
      <c r="B52" s="77"/>
      <c r="C52" s="77"/>
      <c r="D52" s="14" t="s">
        <v>165</v>
      </c>
      <c r="E52" s="8" t="s">
        <v>185</v>
      </c>
      <c r="F52" s="14" t="s">
        <v>43</v>
      </c>
      <c r="G52" s="15" t="s">
        <v>69</v>
      </c>
      <c r="H52" s="15">
        <v>0.33</v>
      </c>
      <c r="I52" s="14">
        <v>177271</v>
      </c>
      <c r="J52" s="14">
        <v>255127</v>
      </c>
      <c r="K52" s="14">
        <v>77857</v>
      </c>
      <c r="L52" s="41">
        <f>33904/K52*100</f>
        <v>43.546501920187012</v>
      </c>
      <c r="M52" s="49">
        <f>29263/K52*100</f>
        <v>37.585573551511104</v>
      </c>
      <c r="N52" s="49">
        <v>36.574750000000002</v>
      </c>
      <c r="O52" s="49">
        <v>36.577309999999997</v>
      </c>
      <c r="P52" s="49">
        <v>36.619700000000002</v>
      </c>
      <c r="Q52" s="49">
        <v>36.655659999999997</v>
      </c>
      <c r="R52" s="52">
        <f t="shared" si="0"/>
        <v>6.7439032098847917</v>
      </c>
      <c r="S52" s="53">
        <v>2.1419424121346404E-6</v>
      </c>
      <c r="T52" s="35"/>
      <c r="U52" s="56">
        <f>2904/K52*100</f>
        <v>3.7299151007616529</v>
      </c>
      <c r="V52" s="46">
        <f>1923/K52*100</f>
        <v>2.4699127888308055</v>
      </c>
      <c r="W52" s="46">
        <v>2.6445919999999998</v>
      </c>
      <c r="X52" s="46">
        <v>2.526427</v>
      </c>
      <c r="Y52" s="46">
        <v>2.388995</v>
      </c>
      <c r="Z52" s="46">
        <v>2.2335820000000002</v>
      </c>
      <c r="AA52" s="52">
        <f t="shared" si="1"/>
        <v>1.2772133429954919</v>
      </c>
      <c r="AB52" s="53">
        <v>2.4755569868562183E-5</v>
      </c>
    </row>
    <row r="53" spans="1:28" ht="31.5">
      <c r="A53" s="77"/>
      <c r="B53" s="77"/>
      <c r="C53" s="77"/>
      <c r="D53" s="14" t="s">
        <v>166</v>
      </c>
      <c r="E53" s="8" t="s">
        <v>71</v>
      </c>
      <c r="F53" s="14" t="s">
        <v>43</v>
      </c>
      <c r="G53" s="15" t="s">
        <v>72</v>
      </c>
      <c r="H53" s="15">
        <v>0.22</v>
      </c>
      <c r="I53" s="14">
        <v>95321</v>
      </c>
      <c r="J53" s="14">
        <v>176757</v>
      </c>
      <c r="K53" s="14">
        <v>81437</v>
      </c>
      <c r="L53" s="41">
        <f>34803/K53*100</f>
        <v>42.73610275427631</v>
      </c>
      <c r="M53" s="49">
        <f>29478/K53*100</f>
        <v>36.197305892898804</v>
      </c>
      <c r="N53" s="49">
        <v>35.243189999999998</v>
      </c>
      <c r="O53" s="49">
        <v>35.728230000000003</v>
      </c>
      <c r="P53" s="49">
        <v>35.8277</v>
      </c>
      <c r="Q53" s="49">
        <v>35.383180000000003</v>
      </c>
      <c r="R53" s="52">
        <f t="shared" si="0"/>
        <v>7.0601815756965491</v>
      </c>
      <c r="S53" s="53">
        <v>9.7894533580709056E-7</v>
      </c>
      <c r="T53" s="35"/>
      <c r="U53" s="56">
        <f>3240/K53*100</f>
        <v>3.9785355550916659</v>
      </c>
      <c r="V53" s="46">
        <f>1779/K53*100</f>
        <v>2.1845107260827388</v>
      </c>
      <c r="W53" s="46">
        <v>2.1808269999999998</v>
      </c>
      <c r="X53" s="46">
        <v>2.1771430000000001</v>
      </c>
      <c r="Y53" s="46">
        <v>2.1353930000000001</v>
      </c>
      <c r="Z53" s="46">
        <v>1.909451</v>
      </c>
      <c r="AA53" s="52">
        <f t="shared" si="1"/>
        <v>1.8610706098751184</v>
      </c>
      <c r="AB53" s="53">
        <v>1.9266974026822332E-6</v>
      </c>
    </row>
    <row r="54" spans="1:28" ht="31.5">
      <c r="A54" s="77"/>
      <c r="B54" s="77"/>
      <c r="C54" s="77"/>
      <c r="D54" s="14" t="s">
        <v>175</v>
      </c>
      <c r="E54" s="8" t="s">
        <v>178</v>
      </c>
      <c r="F54" s="14" t="s">
        <v>43</v>
      </c>
      <c r="G54" s="15" t="s">
        <v>177</v>
      </c>
      <c r="H54" s="15">
        <v>0.23</v>
      </c>
      <c r="I54" s="14">
        <v>13453</v>
      </c>
      <c r="J54" s="14">
        <v>90488</v>
      </c>
      <c r="K54" s="14">
        <f>J54-I54+1</f>
        <v>77036</v>
      </c>
      <c r="L54" s="41">
        <f>31592/K54*100</f>
        <v>41.00939820343735</v>
      </c>
      <c r="M54" s="49">
        <f>28559/K54*100</f>
        <v>37.072277896048597</v>
      </c>
      <c r="N54" s="49">
        <v>35.985770000000002</v>
      </c>
      <c r="O54" s="49">
        <v>35.853369999999998</v>
      </c>
      <c r="P54" s="49">
        <v>36.421930000000003</v>
      </c>
      <c r="Q54" s="49">
        <v>35.618409999999997</v>
      </c>
      <c r="R54" s="52">
        <f t="shared" si="0"/>
        <v>4.8190466242276271</v>
      </c>
      <c r="S54" s="53">
        <v>2.3562850156215794E-5</v>
      </c>
      <c r="T54" s="35"/>
      <c r="U54" s="56">
        <f>2771/K54*100</f>
        <v>3.5970195752635132</v>
      </c>
      <c r="V54" s="46">
        <f>1894/K54*100</f>
        <v>2.4585907887221556</v>
      </c>
      <c r="W54" s="46">
        <v>2.3781089999999998</v>
      </c>
      <c r="X54" s="46">
        <v>2.2431070000000002</v>
      </c>
      <c r="Y54" s="46">
        <v>2.0470950000000001</v>
      </c>
      <c r="Z54" s="46">
        <v>2.291137</v>
      </c>
      <c r="AA54" s="52">
        <f t="shared" si="1"/>
        <v>1.3134118175190821</v>
      </c>
      <c r="AB54" s="53">
        <v>2.3363752418574721E-5</v>
      </c>
    </row>
    <row r="55" spans="1:28" ht="31.5">
      <c r="A55" s="77"/>
      <c r="B55" s="77"/>
      <c r="C55" s="77"/>
      <c r="D55" s="14" t="s">
        <v>176</v>
      </c>
      <c r="E55" s="8" t="s">
        <v>179</v>
      </c>
      <c r="F55" s="14" t="s">
        <v>43</v>
      </c>
      <c r="G55" s="15" t="s">
        <v>180</v>
      </c>
      <c r="H55" s="15">
        <v>0.24</v>
      </c>
      <c r="I55" s="14">
        <v>157314</v>
      </c>
      <c r="J55" s="14">
        <v>235646</v>
      </c>
      <c r="K55" s="14">
        <f>J55-I55+1</f>
        <v>78333</v>
      </c>
      <c r="L55" s="41">
        <f>32499/K55*100</f>
        <v>41.488261652177243</v>
      </c>
      <c r="M55" s="49">
        <f>28659/K55*100</f>
        <v>36.586113132396306</v>
      </c>
      <c r="N55" s="49">
        <v>35.59675</v>
      </c>
      <c r="O55" s="49">
        <v>34.902279999999998</v>
      </c>
      <c r="P55" s="49">
        <v>35.73207</v>
      </c>
      <c r="Q55" s="49">
        <v>35.576320000000003</v>
      </c>
      <c r="R55" s="52">
        <f t="shared" si="0"/>
        <v>5.8095550256979838</v>
      </c>
      <c r="S55" s="53">
        <v>1.3577254798727858E-5</v>
      </c>
      <c r="T55" s="35"/>
      <c r="U55" s="56">
        <f>3394/K55*100</f>
        <v>4.332784394827212</v>
      </c>
      <c r="V55" s="46">
        <f>1786/K55*100</f>
        <v>2.2800097021689454</v>
      </c>
      <c r="W55" s="46">
        <v>2.1523500000000002</v>
      </c>
      <c r="X55" s="46">
        <v>2.0617109999999998</v>
      </c>
      <c r="Y55" s="46">
        <v>2.1855410000000002</v>
      </c>
      <c r="Z55" s="46">
        <v>2.107669</v>
      </c>
      <c r="AA55" s="52">
        <f t="shared" si="1"/>
        <v>2.1753282543934231</v>
      </c>
      <c r="AB55" s="53">
        <v>2.524401471309909E-7</v>
      </c>
    </row>
    <row r="56" spans="1:28" ht="46.5" customHeight="1" thickBot="1">
      <c r="A56" s="72" t="s">
        <v>219</v>
      </c>
      <c r="B56" s="72"/>
      <c r="C56" s="72"/>
      <c r="D56" s="72"/>
      <c r="E56" s="72"/>
      <c r="F56" s="43"/>
      <c r="G56" s="43"/>
      <c r="H56" s="43"/>
      <c r="I56" s="43"/>
      <c r="J56" s="43"/>
      <c r="K56" s="43"/>
      <c r="L56" s="42">
        <f t="shared" ref="L56:S56" si="2">AVERAGE(L6:L55)</f>
        <v>44.240610868593677</v>
      </c>
      <c r="M56" s="51">
        <f t="shared" si="2"/>
        <v>37.972297155789391</v>
      </c>
      <c r="N56" s="51">
        <f t="shared" si="2"/>
        <v>37.466560600000008</v>
      </c>
      <c r="O56" s="51">
        <f t="shared" si="2"/>
        <v>37.456238799999987</v>
      </c>
      <c r="P56" s="51">
        <f t="shared" si="2"/>
        <v>37.474300000000007</v>
      </c>
      <c r="Q56" s="51">
        <f t="shared" si="2"/>
        <v>37.485643000000003</v>
      </c>
      <c r="R56" s="54">
        <f t="shared" si="2"/>
        <v>6.669602957435802</v>
      </c>
      <c r="S56" s="55">
        <f t="shared" si="2"/>
        <v>6.5797014603785327E-4</v>
      </c>
      <c r="T56" s="43"/>
      <c r="U56" s="57">
        <f t="shared" ref="U56:AB56" si="3">AVERAGE(U6:U55)</f>
        <v>4.9781428741051412</v>
      </c>
      <c r="V56" s="45">
        <f t="shared" si="3"/>
        <v>2.6969446598363129</v>
      </c>
      <c r="W56" s="45">
        <f t="shared" si="3"/>
        <v>2.7311712525540424</v>
      </c>
      <c r="X56" s="45">
        <f t="shared" si="3"/>
        <v>2.7122729432436499</v>
      </c>
      <c r="Y56" s="45">
        <f t="shared" si="3"/>
        <v>2.6768513176834721</v>
      </c>
      <c r="Z56" s="45">
        <f t="shared" si="3"/>
        <v>2.6804249497846553</v>
      </c>
      <c r="AA56" s="59">
        <f t="shared" si="3"/>
        <v>2.2786098494847171</v>
      </c>
      <c r="AB56" s="55">
        <f t="shared" si="3"/>
        <v>9.6789045055758957E-3</v>
      </c>
    </row>
    <row r="57" spans="1:28" ht="18.75" thickTop="1">
      <c r="A57" s="29" t="s">
        <v>198</v>
      </c>
      <c r="B57" s="18"/>
      <c r="C57" s="18"/>
      <c r="D57" s="14"/>
      <c r="E57" s="19"/>
      <c r="F57" s="18"/>
      <c r="G57" s="18"/>
      <c r="H57" s="18"/>
      <c r="I57" s="18"/>
      <c r="J57" s="18"/>
      <c r="K57" s="18"/>
      <c r="L57" s="30"/>
      <c r="M57" s="30"/>
      <c r="N57" s="30"/>
      <c r="O57" s="30"/>
      <c r="P57" s="30"/>
      <c r="Q57" s="11"/>
      <c r="R57" s="11"/>
      <c r="S57" s="11"/>
      <c r="T57" s="11"/>
      <c r="U57" s="11"/>
      <c r="V57" s="11"/>
      <c r="W57" s="48"/>
      <c r="X57" s="48"/>
      <c r="Y57" s="48"/>
      <c r="Z57" s="48"/>
      <c r="AA57" s="48"/>
    </row>
    <row r="58" spans="1:28" ht="18">
      <c r="A58" s="29" t="s">
        <v>201</v>
      </c>
      <c r="B58" s="18"/>
      <c r="C58" s="18"/>
      <c r="D58" s="18"/>
      <c r="E58" s="19"/>
      <c r="F58" s="18"/>
      <c r="G58" s="18"/>
      <c r="H58" s="18"/>
      <c r="I58" s="18"/>
      <c r="J58" s="18"/>
      <c r="K58" s="18"/>
      <c r="L58" s="21"/>
      <c r="M58" s="21"/>
      <c r="N58" s="21"/>
      <c r="O58" s="21"/>
      <c r="P58" s="21"/>
      <c r="Q58" s="11"/>
      <c r="R58" s="11"/>
      <c r="S58" s="11"/>
      <c r="T58" s="11"/>
      <c r="U58" s="11"/>
      <c r="V58" s="11"/>
      <c r="AA58" s="11"/>
    </row>
    <row r="59" spans="1:28" s="11" customFormat="1" ht="18">
      <c r="A59" s="29" t="s">
        <v>213</v>
      </c>
      <c r="B59" s="18"/>
      <c r="C59" s="18"/>
      <c r="D59" s="18"/>
      <c r="E59" s="19"/>
      <c r="F59" s="18"/>
      <c r="G59" s="18"/>
      <c r="H59" s="18"/>
      <c r="I59" s="18"/>
      <c r="J59" s="18"/>
      <c r="K59" s="18"/>
      <c r="L59" s="21"/>
      <c r="M59" s="21"/>
      <c r="N59" s="21"/>
      <c r="O59" s="21"/>
      <c r="P59" s="21"/>
      <c r="W59" s="44"/>
      <c r="X59" s="44"/>
      <c r="Y59" s="44"/>
      <c r="Z59" s="44"/>
      <c r="AB59" s="48"/>
    </row>
    <row r="60" spans="1:28" ht="18">
      <c r="A60" s="29" t="s">
        <v>211</v>
      </c>
      <c r="B60" s="31"/>
      <c r="C60" s="31"/>
      <c r="D60" s="18"/>
      <c r="E60" s="19"/>
      <c r="F60" s="18"/>
      <c r="G60" s="18"/>
      <c r="H60" s="32"/>
      <c r="I60" s="18"/>
      <c r="J60" s="18"/>
      <c r="K60" s="18"/>
      <c r="L60" s="23"/>
      <c r="M60" s="23"/>
      <c r="N60" s="23"/>
      <c r="O60" s="23"/>
      <c r="P60" s="23"/>
      <c r="Q60" s="11"/>
      <c r="R60" s="11"/>
      <c r="S60" s="11"/>
      <c r="T60" s="11"/>
      <c r="U60" s="11"/>
      <c r="V60" s="11"/>
      <c r="AA60" s="11"/>
    </row>
    <row r="61" spans="1:28" ht="18">
      <c r="A61" s="29" t="s">
        <v>212</v>
      </c>
      <c r="B61" s="31"/>
      <c r="C61" s="31"/>
      <c r="D61" s="18"/>
      <c r="E61" s="19"/>
      <c r="F61" s="18"/>
      <c r="G61" s="18"/>
      <c r="H61" s="32"/>
      <c r="I61" s="18"/>
      <c r="J61" s="18"/>
      <c r="K61" s="18"/>
      <c r="L61" s="23"/>
      <c r="M61" s="23"/>
      <c r="N61" s="23"/>
      <c r="O61" s="23"/>
      <c r="P61" s="23"/>
      <c r="Q61" s="11"/>
      <c r="R61" s="11"/>
      <c r="S61" s="11"/>
      <c r="T61" s="11"/>
      <c r="U61" s="11"/>
      <c r="V61" s="11"/>
      <c r="AA61" s="11"/>
    </row>
    <row r="62" spans="1:28" s="11" customFormat="1" ht="15.75">
      <c r="A62" s="29"/>
      <c r="B62" s="31"/>
      <c r="C62" s="31"/>
      <c r="D62" s="18"/>
      <c r="E62" s="19"/>
      <c r="F62" s="18"/>
      <c r="G62" s="18"/>
      <c r="H62" s="32"/>
      <c r="I62" s="18"/>
      <c r="J62" s="18"/>
      <c r="K62" s="18"/>
      <c r="L62" s="23"/>
      <c r="M62" s="23"/>
      <c r="N62" s="23"/>
      <c r="O62" s="23"/>
      <c r="P62" s="23"/>
      <c r="W62" s="44"/>
      <c r="X62" s="44"/>
      <c r="Y62" s="44"/>
      <c r="Z62" s="44"/>
      <c r="AB62" s="48"/>
    </row>
    <row r="63" spans="1:28" s="11" customFormat="1" ht="15.75">
      <c r="A63" s="29"/>
      <c r="B63" s="31"/>
      <c r="C63" s="31"/>
      <c r="D63" s="18"/>
      <c r="E63" s="19"/>
      <c r="F63" s="18"/>
      <c r="G63" s="18"/>
      <c r="H63" s="32"/>
      <c r="I63" s="18"/>
      <c r="J63" s="18"/>
      <c r="K63" s="17"/>
      <c r="L63" s="23"/>
      <c r="M63" s="23"/>
      <c r="N63" s="23"/>
      <c r="O63" s="23"/>
      <c r="P63" s="23"/>
      <c r="W63" s="44"/>
      <c r="X63" s="44"/>
      <c r="Y63" s="44"/>
      <c r="Z63" s="44"/>
      <c r="AB63" s="48"/>
    </row>
    <row r="64" spans="1:28" ht="15.75">
      <c r="K64" s="9"/>
      <c r="L64" s="7"/>
      <c r="M64" s="7"/>
      <c r="N64" s="7"/>
      <c r="O64" s="7"/>
      <c r="P64" s="7"/>
      <c r="Q64" s="36"/>
      <c r="R64" s="36"/>
      <c r="S64" s="36"/>
      <c r="T64" s="36"/>
    </row>
    <row r="65" spans="2:28" s="11" customFormat="1" ht="15.75">
      <c r="B65" s="3"/>
      <c r="C65" s="3"/>
      <c r="E65" s="4"/>
      <c r="H65" s="13"/>
      <c r="K65" s="85"/>
      <c r="L65" s="86"/>
      <c r="M65" s="86"/>
      <c r="N65" s="86"/>
      <c r="O65" s="7"/>
      <c r="P65" s="7"/>
      <c r="Q65" s="36"/>
      <c r="R65" s="36"/>
      <c r="S65" s="36"/>
      <c r="T65" s="36"/>
      <c r="U65" s="16"/>
      <c r="W65" s="44"/>
      <c r="X65" s="44"/>
      <c r="Y65" s="44"/>
      <c r="Z65" s="44"/>
      <c r="AA65" s="44"/>
      <c r="AB65" s="48"/>
    </row>
    <row r="66" spans="2:28" ht="15.75">
      <c r="K66" s="9"/>
      <c r="L66" s="86"/>
      <c r="M66" s="86"/>
      <c r="N66" s="87"/>
      <c r="O66" s="7"/>
      <c r="P66" s="7"/>
      <c r="Q66" s="36"/>
      <c r="R66" s="36"/>
      <c r="S66" s="36"/>
      <c r="T66" s="36"/>
    </row>
    <row r="67" spans="2:28" ht="15.75">
      <c r="K67" s="9"/>
      <c r="L67" s="86"/>
      <c r="M67" s="86"/>
      <c r="N67" s="87"/>
      <c r="O67" s="7"/>
      <c r="P67" s="7"/>
      <c r="Q67" s="36"/>
      <c r="R67" s="36"/>
      <c r="S67" s="36"/>
      <c r="T67" s="36"/>
    </row>
    <row r="68" spans="2:28" ht="15.75">
      <c r="K68" s="9"/>
      <c r="L68" s="86"/>
      <c r="M68" s="86"/>
      <c r="N68" s="87"/>
      <c r="O68" s="7"/>
      <c r="P68" s="7"/>
      <c r="Q68" s="36"/>
      <c r="R68" s="36"/>
      <c r="S68" s="36"/>
      <c r="T68" s="36"/>
    </row>
    <row r="69" spans="2:28" ht="15.75">
      <c r="K69" s="9"/>
      <c r="L69" s="86"/>
      <c r="M69" s="86"/>
      <c r="N69" s="87"/>
      <c r="O69" s="7"/>
      <c r="P69" s="7"/>
      <c r="Q69" s="36"/>
      <c r="R69" s="36"/>
      <c r="S69" s="36"/>
      <c r="T69" s="36"/>
    </row>
    <row r="70" spans="2:28" ht="15.75">
      <c r="K70" s="85"/>
      <c r="L70" s="86"/>
      <c r="M70" s="86"/>
      <c r="N70" s="86"/>
      <c r="O70" s="7"/>
      <c r="P70" s="7"/>
      <c r="Q70" s="36"/>
      <c r="R70" s="36"/>
      <c r="S70" s="36"/>
      <c r="T70" s="36"/>
    </row>
    <row r="71" spans="2:28" ht="15.75">
      <c r="K71" s="9"/>
      <c r="L71" s="86"/>
      <c r="M71" s="86"/>
      <c r="N71" s="87"/>
      <c r="O71" s="7"/>
      <c r="P71" s="7"/>
      <c r="Q71" s="36"/>
      <c r="R71" s="36"/>
      <c r="S71" s="36"/>
      <c r="T71" s="36"/>
    </row>
    <row r="72" spans="2:28" ht="15.75">
      <c r="K72" s="9"/>
      <c r="L72" s="86"/>
      <c r="M72" s="86"/>
      <c r="N72" s="87"/>
      <c r="O72" s="7"/>
      <c r="P72" s="7"/>
      <c r="Q72" s="36"/>
      <c r="R72" s="36"/>
      <c r="S72" s="36"/>
      <c r="T72" s="36"/>
    </row>
    <row r="73" spans="2:28" ht="15.75">
      <c r="K73" s="9"/>
      <c r="L73" s="86"/>
      <c r="M73" s="86"/>
      <c r="N73" s="87"/>
      <c r="O73" s="7"/>
      <c r="P73" s="7"/>
      <c r="Q73" s="36"/>
      <c r="R73" s="36"/>
      <c r="S73" s="36"/>
      <c r="T73" s="36"/>
    </row>
    <row r="74" spans="2:28" ht="15.75">
      <c r="K74" s="9"/>
      <c r="L74" s="86"/>
      <c r="M74" s="86"/>
      <c r="N74" s="87"/>
      <c r="O74" s="7"/>
      <c r="P74" s="7"/>
      <c r="Q74" s="36"/>
      <c r="R74" s="36"/>
      <c r="S74" s="36"/>
      <c r="T74" s="36"/>
    </row>
    <row r="75" spans="2:28" ht="15.75">
      <c r="K75" s="9"/>
      <c r="L75" s="7"/>
      <c r="M75" s="7"/>
      <c r="N75" s="7"/>
      <c r="O75" s="7"/>
      <c r="P75" s="7"/>
      <c r="Q75" s="36"/>
      <c r="R75" s="36"/>
      <c r="S75" s="36"/>
      <c r="T75" s="36"/>
    </row>
    <row r="76" spans="2:28" ht="15.75">
      <c r="K76" s="9"/>
      <c r="L76" s="7"/>
      <c r="M76" s="7"/>
      <c r="N76" s="7"/>
      <c r="O76" s="7"/>
      <c r="P76" s="7"/>
      <c r="Q76" s="36"/>
      <c r="R76" s="36"/>
      <c r="S76" s="36"/>
      <c r="T76" s="36"/>
    </row>
    <row r="77" spans="2:28" ht="15.75">
      <c r="K77" s="9"/>
      <c r="L77" s="7"/>
      <c r="M77" s="7"/>
      <c r="N77" s="7"/>
      <c r="O77" s="7"/>
      <c r="P77" s="7"/>
      <c r="Q77" s="36"/>
      <c r="R77" s="36"/>
      <c r="S77" s="36"/>
      <c r="T77" s="36"/>
    </row>
    <row r="78" spans="2:28" ht="15.75">
      <c r="L78" s="7"/>
      <c r="M78" s="7"/>
      <c r="N78" s="7"/>
      <c r="O78" s="7"/>
      <c r="P78" s="7"/>
      <c r="Q78" s="36"/>
      <c r="R78" s="36"/>
      <c r="S78" s="36"/>
      <c r="T78" s="36"/>
    </row>
    <row r="79" spans="2:28" ht="15.75">
      <c r="L79" s="7"/>
      <c r="M79" s="7"/>
      <c r="N79" s="7"/>
      <c r="O79" s="7"/>
      <c r="P79" s="7"/>
      <c r="Q79" s="36"/>
      <c r="R79" s="36"/>
      <c r="S79" s="36"/>
      <c r="T79" s="36"/>
    </row>
    <row r="80" spans="2:28" ht="15.75">
      <c r="L80" s="7"/>
      <c r="M80" s="7"/>
      <c r="N80" s="7"/>
      <c r="O80" s="7"/>
      <c r="P80" s="7"/>
      <c r="Q80" s="36"/>
      <c r="R80" s="36"/>
      <c r="S80" s="36"/>
      <c r="T80" s="36"/>
    </row>
    <row r="81" spans="12:20" ht="15.75">
      <c r="L81" s="7"/>
      <c r="M81" s="7"/>
      <c r="N81" s="7"/>
      <c r="O81" s="7"/>
      <c r="P81" s="7"/>
      <c r="Q81" s="36"/>
      <c r="R81" s="36"/>
      <c r="S81" s="36"/>
      <c r="T81" s="36"/>
    </row>
    <row r="82" spans="12:20" ht="15.75">
      <c r="L82" s="7"/>
      <c r="M82" s="7"/>
      <c r="N82" s="7"/>
      <c r="O82" s="7"/>
      <c r="P82" s="7"/>
      <c r="Q82" s="36"/>
      <c r="R82" s="36"/>
      <c r="S82" s="36"/>
      <c r="T82" s="36"/>
    </row>
    <row r="83" spans="12:20" ht="15.75">
      <c r="L83" s="7"/>
      <c r="M83" s="7"/>
      <c r="N83" s="7"/>
      <c r="O83" s="7"/>
      <c r="P83" s="7"/>
      <c r="Q83" s="36"/>
      <c r="R83" s="36"/>
      <c r="S83" s="36"/>
      <c r="T83" s="36"/>
    </row>
    <row r="84" spans="12:20" ht="15.75">
      <c r="L84" s="7"/>
      <c r="M84" s="7"/>
      <c r="N84" s="7"/>
      <c r="O84" s="7"/>
      <c r="P84" s="7"/>
      <c r="Q84" s="36"/>
      <c r="R84" s="36"/>
      <c r="S84" s="36"/>
      <c r="T84" s="36"/>
    </row>
    <row r="85" spans="12:20" ht="15.75">
      <c r="L85" s="7"/>
      <c r="M85" s="7"/>
      <c r="N85" s="7"/>
      <c r="O85" s="7"/>
      <c r="P85" s="7"/>
      <c r="Q85" s="36"/>
      <c r="R85" s="36"/>
      <c r="S85" s="36"/>
      <c r="T85" s="36"/>
    </row>
    <row r="86" spans="12:20" ht="15.75">
      <c r="L86" s="7"/>
      <c r="M86" s="7"/>
      <c r="N86" s="7"/>
      <c r="O86" s="7"/>
      <c r="P86" s="7"/>
      <c r="Q86" s="36"/>
      <c r="R86" s="36"/>
      <c r="S86" s="36"/>
      <c r="T86" s="36"/>
    </row>
    <row r="87" spans="12:20" ht="15.75">
      <c r="L87" s="7"/>
      <c r="M87" s="7"/>
      <c r="N87" s="7"/>
      <c r="O87" s="7"/>
      <c r="P87" s="7"/>
      <c r="Q87" s="36"/>
      <c r="R87" s="36"/>
      <c r="S87" s="36"/>
      <c r="T87" s="36"/>
    </row>
    <row r="88" spans="12:20" ht="15.75">
      <c r="L88" s="7"/>
      <c r="M88" s="7"/>
      <c r="N88" s="7"/>
      <c r="O88" s="7"/>
      <c r="P88" s="7"/>
      <c r="Q88" s="36"/>
      <c r="R88" s="36"/>
      <c r="S88" s="36"/>
      <c r="T88" s="36"/>
    </row>
    <row r="89" spans="12:20" ht="15.75">
      <c r="L89" s="7"/>
      <c r="M89" s="7"/>
      <c r="N89" s="7"/>
      <c r="O89" s="7"/>
      <c r="P89" s="7"/>
      <c r="Q89" s="36"/>
      <c r="R89" s="36"/>
      <c r="S89" s="36"/>
      <c r="T89" s="36"/>
    </row>
    <row r="90" spans="12:20" ht="15.75">
      <c r="L90" s="7"/>
      <c r="M90" s="7"/>
      <c r="N90" s="7"/>
      <c r="O90" s="7"/>
      <c r="P90" s="7"/>
      <c r="Q90" s="36"/>
      <c r="R90" s="36"/>
      <c r="S90" s="36"/>
      <c r="T90" s="36"/>
    </row>
    <row r="91" spans="12:20" ht="15.75">
      <c r="L91" s="7"/>
      <c r="M91" s="7"/>
      <c r="N91" s="7"/>
      <c r="O91" s="7"/>
      <c r="P91" s="7"/>
      <c r="Q91" s="36"/>
      <c r="R91" s="36"/>
      <c r="S91" s="36"/>
      <c r="T91" s="36"/>
    </row>
    <row r="92" spans="12:20" ht="15.75">
      <c r="L92" s="7"/>
      <c r="M92" s="7"/>
      <c r="N92" s="7"/>
      <c r="O92" s="7"/>
      <c r="P92" s="7"/>
      <c r="Q92" s="36"/>
      <c r="R92" s="36"/>
      <c r="S92" s="36"/>
      <c r="T92" s="36"/>
    </row>
    <row r="93" spans="12:20" ht="15.75">
      <c r="L93" s="7"/>
      <c r="M93" s="7"/>
      <c r="N93" s="7"/>
      <c r="O93" s="7"/>
      <c r="P93" s="7"/>
      <c r="Q93" s="36"/>
      <c r="R93" s="36"/>
      <c r="S93" s="36"/>
      <c r="T93" s="36"/>
    </row>
    <row r="94" spans="12:20" ht="15.75">
      <c r="L94" s="7"/>
      <c r="M94" s="7"/>
      <c r="N94" s="7"/>
      <c r="O94" s="7"/>
      <c r="P94" s="7"/>
      <c r="Q94" s="36"/>
      <c r="R94" s="36"/>
      <c r="S94" s="36"/>
      <c r="T94" s="36"/>
    </row>
    <row r="95" spans="12:20" ht="15.75">
      <c r="L95" s="7"/>
      <c r="M95" s="7"/>
      <c r="N95" s="7"/>
      <c r="O95" s="7"/>
      <c r="P95" s="7"/>
      <c r="Q95" s="36"/>
      <c r="R95" s="36"/>
      <c r="S95" s="36"/>
      <c r="T95" s="36"/>
    </row>
    <row r="96" spans="12:20" ht="15.75">
      <c r="L96" s="7"/>
      <c r="M96" s="7"/>
      <c r="N96" s="7"/>
      <c r="O96" s="7"/>
      <c r="P96" s="7"/>
      <c r="Q96" s="36"/>
      <c r="R96" s="36"/>
      <c r="S96" s="36"/>
      <c r="T96" s="36"/>
    </row>
    <row r="97" spans="12:20" ht="15.75">
      <c r="L97" s="7"/>
      <c r="M97" s="7"/>
      <c r="N97" s="7"/>
      <c r="O97" s="7"/>
      <c r="P97" s="7"/>
      <c r="Q97" s="36"/>
      <c r="R97" s="36"/>
      <c r="S97" s="36"/>
      <c r="T97" s="36"/>
    </row>
    <row r="98" spans="12:20" ht="15.75">
      <c r="L98" s="7"/>
      <c r="M98" s="7"/>
      <c r="N98" s="7"/>
      <c r="O98" s="7"/>
      <c r="P98" s="7"/>
      <c r="Q98" s="36"/>
      <c r="R98" s="36"/>
      <c r="S98" s="36"/>
      <c r="T98" s="36"/>
    </row>
    <row r="99" spans="12:20" ht="15.75">
      <c r="L99" s="7"/>
      <c r="M99" s="7"/>
      <c r="N99" s="7"/>
      <c r="O99" s="7"/>
      <c r="P99" s="7"/>
      <c r="Q99" s="36"/>
      <c r="R99" s="36"/>
      <c r="S99" s="36"/>
      <c r="T99" s="36"/>
    </row>
    <row r="100" spans="12:20" ht="15.75">
      <c r="L100" s="7"/>
      <c r="M100" s="7"/>
      <c r="N100" s="7"/>
      <c r="O100" s="7"/>
      <c r="P100" s="7"/>
      <c r="Q100" s="36"/>
      <c r="R100" s="36"/>
      <c r="S100" s="36"/>
      <c r="T100" s="36"/>
    </row>
    <row r="101" spans="12:20" ht="15.75">
      <c r="L101" s="7"/>
      <c r="M101" s="7"/>
      <c r="N101" s="7"/>
      <c r="O101" s="7"/>
      <c r="P101" s="7"/>
      <c r="Q101" s="36"/>
      <c r="R101" s="36"/>
      <c r="S101" s="36"/>
      <c r="T101" s="36"/>
    </row>
    <row r="102" spans="12:20" ht="15.75">
      <c r="L102" s="7"/>
      <c r="M102" s="7"/>
      <c r="N102" s="7"/>
      <c r="O102" s="7"/>
      <c r="P102" s="7"/>
      <c r="Q102" s="36"/>
      <c r="R102" s="36"/>
      <c r="S102" s="36"/>
      <c r="T102" s="36"/>
    </row>
    <row r="103" spans="12:20" ht="15.75">
      <c r="L103" s="7"/>
      <c r="M103" s="7"/>
      <c r="N103" s="7"/>
      <c r="O103" s="7"/>
      <c r="P103" s="7"/>
      <c r="Q103" s="36"/>
      <c r="R103" s="36"/>
      <c r="S103" s="36"/>
      <c r="T103" s="36"/>
    </row>
    <row r="104" spans="12:20" ht="15.75">
      <c r="L104" s="12"/>
      <c r="M104" s="12"/>
      <c r="N104" s="12"/>
      <c r="O104" s="12"/>
      <c r="P104" s="12"/>
      <c r="Q104" s="37"/>
      <c r="R104" s="37"/>
      <c r="S104" s="37"/>
      <c r="T104" s="37"/>
    </row>
    <row r="105" spans="12:20" ht="15.75">
      <c r="L105" s="12"/>
      <c r="M105" s="12"/>
      <c r="N105" s="12"/>
      <c r="O105" s="12"/>
      <c r="P105" s="12"/>
      <c r="Q105" s="37"/>
      <c r="R105" s="37"/>
      <c r="S105" s="37"/>
      <c r="T105" s="37"/>
    </row>
    <row r="106" spans="12:20" ht="15.75">
      <c r="L106" s="12"/>
      <c r="M106" s="12"/>
      <c r="N106" s="12"/>
      <c r="O106" s="12"/>
      <c r="P106" s="12"/>
      <c r="Q106" s="37"/>
      <c r="R106" s="37"/>
      <c r="S106" s="37"/>
      <c r="T106" s="37"/>
    </row>
    <row r="107" spans="12:20" ht="15.75">
      <c r="L107" s="12"/>
      <c r="M107" s="12"/>
      <c r="N107" s="12"/>
      <c r="O107" s="12"/>
      <c r="P107" s="12"/>
      <c r="Q107" s="37"/>
      <c r="R107" s="37"/>
      <c r="S107" s="37"/>
      <c r="T107" s="37"/>
    </row>
    <row r="108" spans="12:20" ht="15.75">
      <c r="L108" s="12"/>
      <c r="M108" s="12"/>
      <c r="N108" s="12"/>
      <c r="O108" s="12"/>
      <c r="P108" s="12"/>
      <c r="Q108" s="37"/>
      <c r="R108" s="37"/>
      <c r="S108" s="37"/>
      <c r="T108" s="37"/>
    </row>
    <row r="109" spans="12:20" ht="15.75">
      <c r="L109" s="12"/>
      <c r="M109" s="12"/>
      <c r="N109" s="12"/>
      <c r="O109" s="12"/>
      <c r="P109" s="12"/>
      <c r="Q109" s="37"/>
      <c r="R109" s="37"/>
      <c r="S109" s="37"/>
      <c r="T109" s="37"/>
    </row>
    <row r="110" spans="12:20" ht="15.75">
      <c r="L110" s="12"/>
      <c r="M110" s="12"/>
      <c r="N110" s="12"/>
      <c r="O110" s="12"/>
      <c r="P110" s="12"/>
      <c r="Q110" s="37"/>
      <c r="R110" s="37"/>
      <c r="S110" s="37"/>
      <c r="T110" s="37"/>
    </row>
  </sheetData>
  <mergeCells count="38">
    <mergeCell ref="N66:N69"/>
    <mergeCell ref="N71:N74"/>
    <mergeCell ref="S4:S5"/>
    <mergeCell ref="M4:Q4"/>
    <mergeCell ref="U4:U5"/>
    <mergeCell ref="AA4:AA5"/>
    <mergeCell ref="AB4:AB5"/>
    <mergeCell ref="V4:Z4"/>
    <mergeCell ref="A56:E56"/>
    <mergeCell ref="A6:A21"/>
    <mergeCell ref="A37:C41"/>
    <mergeCell ref="C13:C14"/>
    <mergeCell ref="A50:C51"/>
    <mergeCell ref="A22:A30"/>
    <mergeCell ref="B30:C30"/>
    <mergeCell ref="C18:C20"/>
    <mergeCell ref="B18:B20"/>
    <mergeCell ref="A31:C36"/>
    <mergeCell ref="B21:C21"/>
    <mergeCell ref="A42:C49"/>
    <mergeCell ref="B22:C29"/>
    <mergeCell ref="A52:C55"/>
    <mergeCell ref="U3:AB3"/>
    <mergeCell ref="L2:AB2"/>
    <mergeCell ref="B6:B17"/>
    <mergeCell ref="G2:G5"/>
    <mergeCell ref="H2:H5"/>
    <mergeCell ref="I2:I5"/>
    <mergeCell ref="J2:J5"/>
    <mergeCell ref="K2:K5"/>
    <mergeCell ref="D2:D5"/>
    <mergeCell ref="E2:E5"/>
    <mergeCell ref="F2:F5"/>
    <mergeCell ref="L3:S3"/>
    <mergeCell ref="L4:L5"/>
    <mergeCell ref="R4:R5"/>
    <mergeCell ref="C6:C12"/>
    <mergeCell ref="A2:C5"/>
  </mergeCells>
  <phoneticPr fontId="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seq_information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李锐</cp:lastModifiedBy>
  <dcterms:created xsi:type="dcterms:W3CDTF">2016-12-22T03:48:30Z</dcterms:created>
  <dcterms:modified xsi:type="dcterms:W3CDTF">2020-05-31T04:04:15Z</dcterms:modified>
</cp:coreProperties>
</file>