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HCCLive/rHCCLive/Customers/Projects/HCC-Comrate/samples/inputs/"/>
    </mc:Choice>
  </mc:AlternateContent>
  <xr:revisionPtr revIDLastSave="0" documentId="8_{C8F6A602-2E1A-4847-AD76-79BA828F8A0D}" xr6:coauthVersionLast="47" xr6:coauthVersionMax="47" xr10:uidLastSave="{00000000-0000-0000-0000-000000000000}"/>
  <bookViews>
    <workbookView xWindow="43020" yWindow="-600" windowWidth="28040" windowHeight="17440"/>
  </bookViews>
  <sheets>
    <sheet name="Annual_CashFlow_AA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/>
  </sheetViews>
  <sheetFormatPr baseColWidth="10" defaultRowHeight="16" x14ac:dyDescent="0.2"/>
  <sheetData>
    <row r="1" spans="1:6" x14ac:dyDescent="0.2">
      <c r="A1" t="str">
        <f>"Fiscal Year ends in Sep - USD in Millions except per share data"</f>
        <v>Fiscal Year ends in Sep - USD in Millions except per share data</v>
      </c>
      <c r="B1" t="str">
        <f>"Sep 16"</f>
        <v>Sep 16</v>
      </c>
      <c r="C1" t="str">
        <f>"Sep 17"</f>
        <v>Sep 17</v>
      </c>
      <c r="D1" t="str">
        <f>"Sep 18"</f>
        <v>Sep 18</v>
      </c>
      <c r="E1" t="str">
        <f>"Sep 19"</f>
        <v>Sep 19</v>
      </c>
      <c r="F1" t="str">
        <f>"Sep 20"</f>
        <v>Sep 20</v>
      </c>
    </row>
    <row r="2" spans="1:6" x14ac:dyDescent="0.2">
      <c r="A2" t="str">
        <f>"operating cash flow"</f>
        <v>operating cash flow</v>
      </c>
      <c r="B2" t="str">
        <f>"66231"</f>
        <v>66231</v>
      </c>
      <c r="C2" t="str">
        <f>"64225"</f>
        <v>64225</v>
      </c>
      <c r="D2" t="str">
        <f>"77434"</f>
        <v>77434</v>
      </c>
      <c r="E2" t="str">
        <f>"69391"</f>
        <v>69391</v>
      </c>
      <c r="F2" t="str">
        <f>"80674"</f>
        <v>80674</v>
      </c>
    </row>
    <row r="3" spans="1:6" x14ac:dyDescent="0.2">
      <c r="A3" t="str">
        <f>"cash flow from continuing operating activities"</f>
        <v>cash flow from continuing operating activities</v>
      </c>
      <c r="B3" t="str">
        <f>"66231"</f>
        <v>66231</v>
      </c>
      <c r="C3" t="str">
        <f>"64225"</f>
        <v>64225</v>
      </c>
      <c r="D3" t="str">
        <f>"77434"</f>
        <v>77434</v>
      </c>
      <c r="E3" t="str">
        <f>"69391"</f>
        <v>69391</v>
      </c>
      <c r="F3" t="str">
        <f>"80674"</f>
        <v>80674</v>
      </c>
    </row>
    <row r="4" spans="1:6" x14ac:dyDescent="0.2">
      <c r="A4" t="str">
        <f>"Net Income from Continuing Operations"</f>
        <v>Net Income from Continuing Operations</v>
      </c>
      <c r="B4" t="str">
        <f>"45687"</f>
        <v>45687</v>
      </c>
      <c r="C4" t="str">
        <f>"48351"</f>
        <v>48351</v>
      </c>
      <c r="D4" t="str">
        <f>"59531"</f>
        <v>59531</v>
      </c>
      <c r="E4" t="str">
        <f>"55256"</f>
        <v>55256</v>
      </c>
      <c r="F4" t="str">
        <f>"57411"</f>
        <v>57411</v>
      </c>
    </row>
    <row r="5" spans="1:6" x14ac:dyDescent="0.2">
      <c r="A5" t="str">
        <f>"operating gains losses"</f>
        <v>operating gains losses</v>
      </c>
      <c r="B5" t="str">
        <f t="shared" ref="B5:F11" si="0">"—"</f>
        <v>—</v>
      </c>
      <c r="C5" t="str">
        <f t="shared" si="0"/>
        <v>—</v>
      </c>
      <c r="D5" t="str">
        <f t="shared" si="0"/>
        <v>—</v>
      </c>
      <c r="E5" t="str">
        <f t="shared" si="0"/>
        <v>—</v>
      </c>
      <c r="F5" t="str">
        <f t="shared" si="0"/>
        <v>—</v>
      </c>
    </row>
    <row r="6" spans="1:6" x14ac:dyDescent="0.2">
      <c r="A6" t="str">
        <f>"gain loss on sale of business"</f>
        <v>gain loss on sale of business</v>
      </c>
      <c r="B6" t="str">
        <f t="shared" si="0"/>
        <v>—</v>
      </c>
      <c r="C6" t="str">
        <f t="shared" si="0"/>
        <v>—</v>
      </c>
      <c r="D6" t="str">
        <f t="shared" si="0"/>
        <v>—</v>
      </c>
      <c r="E6" t="str">
        <f t="shared" si="0"/>
        <v>—</v>
      </c>
      <c r="F6" t="str">
        <f t="shared" si="0"/>
        <v>—</v>
      </c>
    </row>
    <row r="7" spans="1:6" x14ac:dyDescent="0.2">
      <c r="A7" t="str">
        <f>"gain loss on sale of ppe"</f>
        <v>gain loss on sale of ppe</v>
      </c>
      <c r="B7" t="str">
        <f t="shared" si="0"/>
        <v>—</v>
      </c>
      <c r="C7" t="str">
        <f t="shared" si="0"/>
        <v>—</v>
      </c>
      <c r="D7" t="str">
        <f t="shared" si="0"/>
        <v>—</v>
      </c>
      <c r="E7" t="str">
        <f t="shared" si="0"/>
        <v>—</v>
      </c>
      <c r="F7" t="str">
        <f t="shared" si="0"/>
        <v>—</v>
      </c>
    </row>
    <row r="8" spans="1:6" x14ac:dyDescent="0.2">
      <c r="A8" t="str">
        <f>"net foreign currency exchange gain loss"</f>
        <v>net foreign currency exchange gain loss</v>
      </c>
      <c r="B8" t="str">
        <f t="shared" si="0"/>
        <v>—</v>
      </c>
      <c r="C8" t="str">
        <f t="shared" si="0"/>
        <v>—</v>
      </c>
      <c r="D8" t="str">
        <f t="shared" si="0"/>
        <v>—</v>
      </c>
      <c r="E8" t="str">
        <f t="shared" si="0"/>
        <v>—</v>
      </c>
      <c r="F8" t="str">
        <f t="shared" si="0"/>
        <v>—</v>
      </c>
    </row>
    <row r="9" spans="1:6" x14ac:dyDescent="0.2">
      <c r="A9" t="str">
        <f>"gain loss on investment securities"</f>
        <v>gain loss on investment securities</v>
      </c>
      <c r="B9" t="str">
        <f t="shared" si="0"/>
        <v>—</v>
      </c>
      <c r="C9" t="str">
        <f t="shared" si="0"/>
        <v>—</v>
      </c>
      <c r="D9" t="str">
        <f t="shared" si="0"/>
        <v>—</v>
      </c>
      <c r="E9" t="str">
        <f t="shared" si="0"/>
        <v>—</v>
      </c>
      <c r="F9" t="str">
        <f t="shared" si="0"/>
        <v>—</v>
      </c>
    </row>
    <row r="10" spans="1:6" x14ac:dyDescent="0.2">
      <c r="A10" t="str">
        <f>"earnings losses from equity investments"</f>
        <v>earnings losses from equity investments</v>
      </c>
      <c r="B10" t="str">
        <f t="shared" si="0"/>
        <v>—</v>
      </c>
      <c r="C10" t="str">
        <f t="shared" si="0"/>
        <v>—</v>
      </c>
      <c r="D10" t="str">
        <f t="shared" si="0"/>
        <v>—</v>
      </c>
      <c r="E10" t="str">
        <f t="shared" si="0"/>
        <v>—</v>
      </c>
      <c r="F10" t="str">
        <f t="shared" si="0"/>
        <v>—</v>
      </c>
    </row>
    <row r="11" spans="1:6" x14ac:dyDescent="0.2">
      <c r="A11" t="str">
        <f>"pension and employee benefit expense"</f>
        <v>pension and employee benefit expense</v>
      </c>
      <c r="B11" t="str">
        <f t="shared" si="0"/>
        <v>—</v>
      </c>
      <c r="C11" t="str">
        <f t="shared" si="0"/>
        <v>—</v>
      </c>
      <c r="D11" t="str">
        <f t="shared" si="0"/>
        <v>—</v>
      </c>
      <c r="E11" t="str">
        <f t="shared" si="0"/>
        <v>—</v>
      </c>
      <c r="F11" t="str">
        <f t="shared" si="0"/>
        <v>—</v>
      </c>
    </row>
    <row r="12" spans="1:6" x14ac:dyDescent="0.2">
      <c r="A12" t="str">
        <f>"depreciation amortization depletion"</f>
        <v>depreciation amortization depletion</v>
      </c>
      <c r="B12" t="str">
        <f>"10505"</f>
        <v>10505</v>
      </c>
      <c r="C12" t="str">
        <f>"10157"</f>
        <v>10157</v>
      </c>
      <c r="D12" t="str">
        <f>"10903"</f>
        <v>10903</v>
      </c>
      <c r="E12" t="str">
        <f>"12547"</f>
        <v>12547</v>
      </c>
      <c r="F12" t="str">
        <f>"11056"</f>
        <v>11056</v>
      </c>
    </row>
    <row r="13" spans="1:6" x14ac:dyDescent="0.2">
      <c r="A13" t="str">
        <f>"depreciation and amortization"</f>
        <v>depreciation and amortization</v>
      </c>
      <c r="B13" t="str">
        <f>"10505"</f>
        <v>10505</v>
      </c>
      <c r="C13" t="str">
        <f>"10157"</f>
        <v>10157</v>
      </c>
      <c r="D13" t="str">
        <f>"10903"</f>
        <v>10903</v>
      </c>
      <c r="E13" t="str">
        <f>"12547"</f>
        <v>12547</v>
      </c>
      <c r="F13" t="str">
        <f>"11056"</f>
        <v>11056</v>
      </c>
    </row>
    <row r="14" spans="1:6" x14ac:dyDescent="0.2">
      <c r="A14" t="str">
        <f>"depreciation"</f>
        <v>depreciation</v>
      </c>
      <c r="B14" t="str">
        <f t="shared" ref="B14:F17" si="1">"—"</f>
        <v>—</v>
      </c>
      <c r="C14" t="str">
        <f t="shared" si="1"/>
        <v>—</v>
      </c>
      <c r="D14" t="str">
        <f t="shared" si="1"/>
        <v>—</v>
      </c>
      <c r="E14" t="str">
        <f t="shared" si="1"/>
        <v>—</v>
      </c>
      <c r="F14" t="str">
        <f t="shared" si="1"/>
        <v>—</v>
      </c>
    </row>
    <row r="15" spans="1:6" x14ac:dyDescent="0.2">
      <c r="A15" t="str">
        <f>"amortization"</f>
        <v>amortization</v>
      </c>
      <c r="B15" t="str">
        <f t="shared" si="1"/>
        <v>—</v>
      </c>
      <c r="C15" t="str">
        <f t="shared" si="1"/>
        <v>—</v>
      </c>
      <c r="D15" t="str">
        <f t="shared" si="1"/>
        <v>—</v>
      </c>
      <c r="E15" t="str">
        <f t="shared" si="1"/>
        <v>—</v>
      </c>
      <c r="F15" t="str">
        <f t="shared" si="1"/>
        <v>—</v>
      </c>
    </row>
    <row r="16" spans="1:6" x14ac:dyDescent="0.2">
      <c r="A16" t="str">
        <f>"amortization of intangibles"</f>
        <v>amortization of intangibles</v>
      </c>
      <c r="B16" t="str">
        <f t="shared" si="1"/>
        <v>—</v>
      </c>
      <c r="C16" t="str">
        <f t="shared" si="1"/>
        <v>—</v>
      </c>
      <c r="D16" t="str">
        <f t="shared" si="1"/>
        <v>—</v>
      </c>
      <c r="E16" t="str">
        <f t="shared" si="1"/>
        <v>—</v>
      </c>
      <c r="F16" t="str">
        <f t="shared" si="1"/>
        <v>—</v>
      </c>
    </row>
    <row r="17" spans="1:6" x14ac:dyDescent="0.2">
      <c r="A17" t="str">
        <f>"depletion"</f>
        <v>depletion</v>
      </c>
      <c r="B17" t="str">
        <f t="shared" si="1"/>
        <v>—</v>
      </c>
      <c r="C17" t="str">
        <f t="shared" si="1"/>
        <v>—</v>
      </c>
      <c r="D17" t="str">
        <f t="shared" si="1"/>
        <v>—</v>
      </c>
      <c r="E17" t="str">
        <f t="shared" si="1"/>
        <v>—</v>
      </c>
      <c r="F17" t="str">
        <f t="shared" si="1"/>
        <v>—</v>
      </c>
    </row>
    <row r="18" spans="1:6" x14ac:dyDescent="0.2">
      <c r="A18" t="str">
        <f>"deferred tax"</f>
        <v>deferred tax</v>
      </c>
      <c r="B18" t="str">
        <f>"4938"</f>
        <v>4938</v>
      </c>
      <c r="C18" t="str">
        <f>"5966"</f>
        <v>5966</v>
      </c>
      <c r="D18" t="str">
        <f>"-32590"</f>
        <v>-32590</v>
      </c>
      <c r="E18" t="str">
        <f>"-340"</f>
        <v>-340</v>
      </c>
      <c r="F18" t="str">
        <f>"-215"</f>
        <v>-215</v>
      </c>
    </row>
    <row r="19" spans="1:6" x14ac:dyDescent="0.2">
      <c r="A19" t="str">
        <f>"Deferred Income Tax"</f>
        <v>Deferred Income Tax</v>
      </c>
      <c r="B19" t="str">
        <f>"4938"</f>
        <v>4938</v>
      </c>
      <c r="C19" t="str">
        <f>"5966"</f>
        <v>5966</v>
      </c>
      <c r="D19" t="str">
        <f>"-32590"</f>
        <v>-32590</v>
      </c>
      <c r="E19" t="str">
        <f>"-340"</f>
        <v>-340</v>
      </c>
      <c r="F19" t="str">
        <f>"-215"</f>
        <v>-215</v>
      </c>
    </row>
    <row r="20" spans="1:6" x14ac:dyDescent="0.2">
      <c r="A20" t="str">
        <f>"amortization of securities"</f>
        <v>amortization of securities</v>
      </c>
      <c r="B20" t="str">
        <f t="shared" ref="B20:F23" si="2">"—"</f>
        <v>—</v>
      </c>
      <c r="C20" t="str">
        <f t="shared" si="2"/>
        <v>—</v>
      </c>
      <c r="D20" t="str">
        <f t="shared" si="2"/>
        <v>—</v>
      </c>
      <c r="E20" t="str">
        <f t="shared" si="2"/>
        <v>—</v>
      </c>
      <c r="F20" t="str">
        <f t="shared" si="2"/>
        <v>—</v>
      </c>
    </row>
    <row r="21" spans="1:6" x14ac:dyDescent="0.2">
      <c r="A21" t="str">
        <f>"asset impairment charge"</f>
        <v>asset impairment charge</v>
      </c>
      <c r="B21" t="str">
        <f t="shared" si="2"/>
        <v>—</v>
      </c>
      <c r="C21" t="str">
        <f t="shared" si="2"/>
        <v>—</v>
      </c>
      <c r="D21" t="str">
        <f t="shared" si="2"/>
        <v>—</v>
      </c>
      <c r="E21" t="str">
        <f t="shared" si="2"/>
        <v>—</v>
      </c>
      <c r="F21" t="str">
        <f t="shared" si="2"/>
        <v>—</v>
      </c>
    </row>
    <row r="22" spans="1:6" x14ac:dyDescent="0.2">
      <c r="A22" t="str">
        <f>"provisionand write offof assets"</f>
        <v>provisionand write offof assets</v>
      </c>
      <c r="B22" t="str">
        <f t="shared" si="2"/>
        <v>—</v>
      </c>
      <c r="C22" t="str">
        <f t="shared" si="2"/>
        <v>—</v>
      </c>
      <c r="D22" t="str">
        <f t="shared" si="2"/>
        <v>—</v>
      </c>
      <c r="E22" t="str">
        <f t="shared" si="2"/>
        <v>—</v>
      </c>
      <c r="F22" t="str">
        <f t="shared" si="2"/>
        <v>—</v>
      </c>
    </row>
    <row r="23" spans="1:6" x14ac:dyDescent="0.2">
      <c r="A23" t="str">
        <f>"unrealized gain loss on investment securities"</f>
        <v>unrealized gain loss on investment securities</v>
      </c>
      <c r="B23" t="str">
        <f t="shared" si="2"/>
        <v>—</v>
      </c>
      <c r="C23" t="str">
        <f t="shared" si="2"/>
        <v>—</v>
      </c>
      <c r="D23" t="str">
        <f t="shared" si="2"/>
        <v>—</v>
      </c>
      <c r="E23" t="str">
        <f t="shared" si="2"/>
        <v>—</v>
      </c>
      <c r="F23" t="str">
        <f t="shared" si="2"/>
        <v>—</v>
      </c>
    </row>
    <row r="24" spans="1:6" x14ac:dyDescent="0.2">
      <c r="A24" t="str">
        <f>"stock based compensation"</f>
        <v>stock based compensation</v>
      </c>
      <c r="B24" t="str">
        <f>"4210"</f>
        <v>4210</v>
      </c>
      <c r="C24" t="str">
        <f>"4840"</f>
        <v>4840</v>
      </c>
      <c r="D24" t="str">
        <f>"5340"</f>
        <v>5340</v>
      </c>
      <c r="E24" t="str">
        <f>"6068"</f>
        <v>6068</v>
      </c>
      <c r="F24" t="str">
        <f>"6829"</f>
        <v>6829</v>
      </c>
    </row>
    <row r="25" spans="1:6" x14ac:dyDescent="0.2">
      <c r="A25" t="str">
        <f>"excess tax benefit from stock based compensation"</f>
        <v>excess tax benefit from stock based compensation</v>
      </c>
      <c r="B25" t="str">
        <f>"—"</f>
        <v>—</v>
      </c>
      <c r="C25" t="str">
        <f>"—"</f>
        <v>—</v>
      </c>
      <c r="D25" t="str">
        <f>"—"</f>
        <v>—</v>
      </c>
      <c r="E25" t="str">
        <f>"—"</f>
        <v>—</v>
      </c>
      <c r="F25" t="str">
        <f>"—"</f>
        <v>—</v>
      </c>
    </row>
    <row r="26" spans="1:6" x14ac:dyDescent="0.2">
      <c r="A26" t="str">
        <f>"other non cash items"</f>
        <v>other non cash items</v>
      </c>
      <c r="B26" t="str">
        <f>"486"</f>
        <v>486</v>
      </c>
      <c r="C26" t="str">
        <f>"-166"</f>
        <v>-166</v>
      </c>
      <c r="D26" t="str">
        <f>"-444"</f>
        <v>-444</v>
      </c>
      <c r="E26" t="str">
        <f>"-652"</f>
        <v>-652</v>
      </c>
      <c r="F26" t="str">
        <f>"-97"</f>
        <v>-97</v>
      </c>
    </row>
    <row r="27" spans="1:6" x14ac:dyDescent="0.2">
      <c r="A27" t="str">
        <f>"change in working capital"</f>
        <v>change in working capital</v>
      </c>
      <c r="B27" t="str">
        <f>"405"</f>
        <v>405</v>
      </c>
      <c r="C27" t="str">
        <f>"-4923"</f>
        <v>-4923</v>
      </c>
      <c r="D27" t="str">
        <f>"34694"</f>
        <v>34694</v>
      </c>
      <c r="E27" t="str">
        <f>"-3488"</f>
        <v>-3488</v>
      </c>
      <c r="F27" t="str">
        <f>"5690"</f>
        <v>5690</v>
      </c>
    </row>
    <row r="28" spans="1:6" x14ac:dyDescent="0.2">
      <c r="A28" t="str">
        <f>"change in receivables"</f>
        <v>change in receivables</v>
      </c>
      <c r="B28" t="str">
        <f>"476"</f>
        <v>476</v>
      </c>
      <c r="C28" t="str">
        <f>"-6347"</f>
        <v>-6347</v>
      </c>
      <c r="D28" t="str">
        <f>"-13332"</f>
        <v>-13332</v>
      </c>
      <c r="E28" t="str">
        <f>"3176"</f>
        <v>3176</v>
      </c>
      <c r="F28" t="str">
        <f>"8470"</f>
        <v>8470</v>
      </c>
    </row>
    <row r="29" spans="1:6" x14ac:dyDescent="0.2">
      <c r="A29" t="str">
        <f>"changes in account receivables"</f>
        <v>changes in account receivables</v>
      </c>
      <c r="B29" t="str">
        <f>"527"</f>
        <v>527</v>
      </c>
      <c r="C29" t="str">
        <f>"-2093"</f>
        <v>-2093</v>
      </c>
      <c r="D29" t="str">
        <f>"-5322"</f>
        <v>-5322</v>
      </c>
      <c r="E29" t="str">
        <f>"245"</f>
        <v>245</v>
      </c>
      <c r="F29" t="str">
        <f>"6917"</f>
        <v>6917</v>
      </c>
    </row>
    <row r="30" spans="1:6" x14ac:dyDescent="0.2">
      <c r="A30" t="str">
        <f>"change in inventory"</f>
        <v>change in inventory</v>
      </c>
      <c r="B30" t="str">
        <f>"217"</f>
        <v>217</v>
      </c>
      <c r="C30" t="str">
        <f>"-2723"</f>
        <v>-2723</v>
      </c>
      <c r="D30" t="str">
        <f>"828"</f>
        <v>828</v>
      </c>
      <c r="E30" t="str">
        <f>"-289"</f>
        <v>-289</v>
      </c>
      <c r="F30" t="str">
        <f>"-127"</f>
        <v>-127</v>
      </c>
    </row>
    <row r="31" spans="1:6" x14ac:dyDescent="0.2">
      <c r="A31" t="str">
        <f>"change in prepaid assets"</f>
        <v>change in prepaid assets</v>
      </c>
      <c r="B31" t="str">
        <f>"—"</f>
        <v>—</v>
      </c>
      <c r="C31" t="str">
        <f>"—"</f>
        <v>—</v>
      </c>
      <c r="D31" t="str">
        <f>"—"</f>
        <v>—</v>
      </c>
      <c r="E31" t="str">
        <f>"—"</f>
        <v>—</v>
      </c>
      <c r="F31" t="str">
        <f>"—"</f>
        <v>—</v>
      </c>
    </row>
    <row r="32" spans="1:6" x14ac:dyDescent="0.2">
      <c r="A32" t="str">
        <f>"change in payables and accrued expense"</f>
        <v>change in payables and accrued expense</v>
      </c>
      <c r="B32" t="str">
        <f>"2117"</f>
        <v>2117</v>
      </c>
      <c r="C32" t="str">
        <f>"8966"</f>
        <v>8966</v>
      </c>
      <c r="D32" t="str">
        <f>"9175"</f>
        <v>9175</v>
      </c>
      <c r="E32" t="str">
        <f>"-1923"</f>
        <v>-1923</v>
      </c>
      <c r="F32" t="str">
        <f>"-4062"</f>
        <v>-4062</v>
      </c>
    </row>
    <row r="33" spans="1:6" x14ac:dyDescent="0.2">
      <c r="A33" t="str">
        <f>"change in payable"</f>
        <v>change in payable</v>
      </c>
      <c r="B33" t="str">
        <f>"2117"</f>
        <v>2117</v>
      </c>
      <c r="C33" t="str">
        <f>"8966"</f>
        <v>8966</v>
      </c>
      <c r="D33" t="str">
        <f>"9175"</f>
        <v>9175</v>
      </c>
      <c r="E33" t="str">
        <f>"-1923"</f>
        <v>-1923</v>
      </c>
      <c r="F33" t="str">
        <f>"-4062"</f>
        <v>-4062</v>
      </c>
    </row>
    <row r="34" spans="1:6" x14ac:dyDescent="0.2">
      <c r="A34" t="str">
        <f>"change in tax payable"</f>
        <v>change in tax payable</v>
      </c>
      <c r="B34" t="str">
        <f t="shared" ref="B34:F35" si="3">"—"</f>
        <v>—</v>
      </c>
      <c r="C34" t="str">
        <f t="shared" si="3"/>
        <v>—</v>
      </c>
      <c r="D34" t="str">
        <f t="shared" si="3"/>
        <v>—</v>
      </c>
      <c r="E34" t="str">
        <f t="shared" si="3"/>
        <v>—</v>
      </c>
      <c r="F34" t="str">
        <f t="shared" si="3"/>
        <v>—</v>
      </c>
    </row>
    <row r="35" spans="1:6" x14ac:dyDescent="0.2">
      <c r="A35" t="str">
        <f>"change in income tax payable"</f>
        <v>change in income tax payable</v>
      </c>
      <c r="B35" t="str">
        <f t="shared" si="3"/>
        <v>—</v>
      </c>
      <c r="C35" t="str">
        <f t="shared" si="3"/>
        <v>—</v>
      </c>
      <c r="D35" t="str">
        <f t="shared" si="3"/>
        <v>—</v>
      </c>
      <c r="E35" t="str">
        <f t="shared" si="3"/>
        <v>—</v>
      </c>
      <c r="F35" t="str">
        <f t="shared" si="3"/>
        <v>—</v>
      </c>
    </row>
    <row r="36" spans="1:6" x14ac:dyDescent="0.2">
      <c r="A36" t="str">
        <f>"change in account payable"</f>
        <v>change in account payable</v>
      </c>
      <c r="B36" t="str">
        <f>"2117"</f>
        <v>2117</v>
      </c>
      <c r="C36" t="str">
        <f>"8966"</f>
        <v>8966</v>
      </c>
      <c r="D36" t="str">
        <f>"9175"</f>
        <v>9175</v>
      </c>
      <c r="E36" t="str">
        <f>"-1923"</f>
        <v>-1923</v>
      </c>
      <c r="F36" t="str">
        <f>"-4062"</f>
        <v>-4062</v>
      </c>
    </row>
    <row r="37" spans="1:6" x14ac:dyDescent="0.2">
      <c r="A37" t="str">
        <f>"change in dividend payable"</f>
        <v>change in dividend payable</v>
      </c>
      <c r="B37" t="str">
        <f t="shared" ref="B37:F39" si="4">"—"</f>
        <v>—</v>
      </c>
      <c r="C37" t="str">
        <f t="shared" si="4"/>
        <v>—</v>
      </c>
      <c r="D37" t="str">
        <f t="shared" si="4"/>
        <v>—</v>
      </c>
      <c r="E37" t="str">
        <f t="shared" si="4"/>
        <v>—</v>
      </c>
      <c r="F37" t="str">
        <f t="shared" si="4"/>
        <v>—</v>
      </c>
    </row>
    <row r="38" spans="1:6" x14ac:dyDescent="0.2">
      <c r="A38" t="str">
        <f>"change in accrued expense"</f>
        <v>change in accrued expense</v>
      </c>
      <c r="B38" t="str">
        <f t="shared" si="4"/>
        <v>—</v>
      </c>
      <c r="C38" t="str">
        <f t="shared" si="4"/>
        <v>—</v>
      </c>
      <c r="D38" t="str">
        <f t="shared" si="4"/>
        <v>—</v>
      </c>
      <c r="E38" t="str">
        <f t="shared" si="4"/>
        <v>—</v>
      </c>
      <c r="F38" t="str">
        <f t="shared" si="4"/>
        <v>—</v>
      </c>
    </row>
    <row r="39" spans="1:6" x14ac:dyDescent="0.2">
      <c r="A39" t="str">
        <f>"change in interest payable"</f>
        <v>change in interest payable</v>
      </c>
      <c r="B39" t="str">
        <f t="shared" si="4"/>
        <v>—</v>
      </c>
      <c r="C39" t="str">
        <f t="shared" si="4"/>
        <v>—</v>
      </c>
      <c r="D39" t="str">
        <f t="shared" si="4"/>
        <v>—</v>
      </c>
      <c r="E39" t="str">
        <f t="shared" si="4"/>
        <v>—</v>
      </c>
      <c r="F39" t="str">
        <f t="shared" si="4"/>
        <v>—</v>
      </c>
    </row>
    <row r="40" spans="1:6" x14ac:dyDescent="0.2">
      <c r="A40" t="str">
        <f>"change in other current assets"</f>
        <v>change in other current assets</v>
      </c>
      <c r="B40" t="str">
        <f>"1055"</f>
        <v>1055</v>
      </c>
      <c r="C40" t="str">
        <f>"-5318"</f>
        <v>-5318</v>
      </c>
      <c r="D40" t="str">
        <f>"-423"</f>
        <v>-423</v>
      </c>
      <c r="E40" t="str">
        <f>"873"</f>
        <v>873</v>
      </c>
      <c r="F40" t="str">
        <f>"-9588"</f>
        <v>-9588</v>
      </c>
    </row>
    <row r="41" spans="1:6" x14ac:dyDescent="0.2">
      <c r="A41" t="str">
        <f>"change in other current liabilities"</f>
        <v>change in other current liabilities</v>
      </c>
      <c r="B41" t="str">
        <f>"-1906"</f>
        <v>-1906</v>
      </c>
      <c r="C41" t="str">
        <f>"1092"</f>
        <v>1092</v>
      </c>
      <c r="D41" t="str">
        <f>"38449"</f>
        <v>38449</v>
      </c>
      <c r="E41" t="str">
        <f>"-4700"</f>
        <v>-4700</v>
      </c>
      <c r="F41" t="str">
        <f>"8916"</f>
        <v>8916</v>
      </c>
    </row>
    <row r="42" spans="1:6" x14ac:dyDescent="0.2">
      <c r="A42" t="str">
        <f>"change in other working capital"</f>
        <v>change in other working capital</v>
      </c>
      <c r="B42" t="str">
        <f>"-2405"</f>
        <v>-2405</v>
      </c>
      <c r="C42" t="str">
        <f>"-4819"</f>
        <v>-4819</v>
      </c>
      <c r="D42" t="str">
        <f>"38023"</f>
        <v>38023</v>
      </c>
      <c r="E42" t="str">
        <f>"-4452"</f>
        <v>-4452</v>
      </c>
      <c r="F42" t="str">
        <f>"1409"</f>
        <v>1409</v>
      </c>
    </row>
    <row r="43" spans="1:6" x14ac:dyDescent="0.2">
      <c r="A43" t="str">
        <f>"dividend paid cfo"</f>
        <v>dividend paid cfo</v>
      </c>
      <c r="B43" t="str">
        <f t="shared" ref="B43:F48" si="5">"—"</f>
        <v>—</v>
      </c>
      <c r="C43" t="str">
        <f t="shared" si="5"/>
        <v>—</v>
      </c>
      <c r="D43" t="str">
        <f t="shared" si="5"/>
        <v>—</v>
      </c>
      <c r="E43" t="str">
        <f t="shared" si="5"/>
        <v>—</v>
      </c>
      <c r="F43" t="str">
        <f t="shared" si="5"/>
        <v>—</v>
      </c>
    </row>
    <row r="44" spans="1:6" x14ac:dyDescent="0.2">
      <c r="A44" t="str">
        <f>"dividend received cfo"</f>
        <v>dividend received cfo</v>
      </c>
      <c r="B44" t="str">
        <f t="shared" si="5"/>
        <v>—</v>
      </c>
      <c r="C44" t="str">
        <f t="shared" si="5"/>
        <v>—</v>
      </c>
      <c r="D44" t="str">
        <f t="shared" si="5"/>
        <v>—</v>
      </c>
      <c r="E44" t="str">
        <f t="shared" si="5"/>
        <v>—</v>
      </c>
      <c r="F44" t="str">
        <f t="shared" si="5"/>
        <v>—</v>
      </c>
    </row>
    <row r="45" spans="1:6" x14ac:dyDescent="0.2">
      <c r="A45" t="str">
        <f>"interest paid cfo"</f>
        <v>interest paid cfo</v>
      </c>
      <c r="B45" t="str">
        <f t="shared" si="5"/>
        <v>—</v>
      </c>
      <c r="C45" t="str">
        <f t="shared" si="5"/>
        <v>—</v>
      </c>
      <c r="D45" t="str">
        <f t="shared" si="5"/>
        <v>—</v>
      </c>
      <c r="E45" t="str">
        <f t="shared" si="5"/>
        <v>—</v>
      </c>
      <c r="F45" t="str">
        <f t="shared" si="5"/>
        <v>—</v>
      </c>
    </row>
    <row r="46" spans="1:6" x14ac:dyDescent="0.2">
      <c r="A46" t="str">
        <f>"interest received cfo"</f>
        <v>interest received cfo</v>
      </c>
      <c r="B46" t="str">
        <f t="shared" si="5"/>
        <v>—</v>
      </c>
      <c r="C46" t="str">
        <f t="shared" si="5"/>
        <v>—</v>
      </c>
      <c r="D46" t="str">
        <f t="shared" si="5"/>
        <v>—</v>
      </c>
      <c r="E46" t="str">
        <f t="shared" si="5"/>
        <v>—</v>
      </c>
      <c r="F46" t="str">
        <f t="shared" si="5"/>
        <v>—</v>
      </c>
    </row>
    <row r="47" spans="1:6" x14ac:dyDescent="0.2">
      <c r="A47" t="str">
        <f>"taxes refund paid"</f>
        <v>taxes refund paid</v>
      </c>
      <c r="B47" t="str">
        <f t="shared" si="5"/>
        <v>—</v>
      </c>
      <c r="C47" t="str">
        <f t="shared" si="5"/>
        <v>—</v>
      </c>
      <c r="D47" t="str">
        <f t="shared" si="5"/>
        <v>—</v>
      </c>
      <c r="E47" t="str">
        <f t="shared" si="5"/>
        <v>—</v>
      </c>
      <c r="F47" t="str">
        <f t="shared" si="5"/>
        <v>—</v>
      </c>
    </row>
    <row r="48" spans="1:6" x14ac:dyDescent="0.2">
      <c r="A48" t="str">
        <f>"cash from discontinued operating activities"</f>
        <v>cash from discontinued operating activities</v>
      </c>
      <c r="B48" t="str">
        <f t="shared" si="5"/>
        <v>—</v>
      </c>
      <c r="C48" t="str">
        <f t="shared" si="5"/>
        <v>—</v>
      </c>
      <c r="D48" t="str">
        <f t="shared" si="5"/>
        <v>—</v>
      </c>
      <c r="E48" t="str">
        <f t="shared" si="5"/>
        <v>—</v>
      </c>
      <c r="F48" t="str">
        <f t="shared" si="5"/>
        <v>—</v>
      </c>
    </row>
    <row r="49" spans="1:6" x14ac:dyDescent="0.2">
      <c r="A49" t="str">
        <f>"investing cash flow"</f>
        <v>investing cash flow</v>
      </c>
      <c r="B49" t="str">
        <f>"-45977"</f>
        <v>-45977</v>
      </c>
      <c r="C49" t="str">
        <f>"-46446"</f>
        <v>-46446</v>
      </c>
      <c r="D49" t="str">
        <f>"16066"</f>
        <v>16066</v>
      </c>
      <c r="E49" t="str">
        <f>"45896"</f>
        <v>45896</v>
      </c>
      <c r="F49" t="str">
        <f>"-4289"</f>
        <v>-4289</v>
      </c>
    </row>
    <row r="50" spans="1:6" x14ac:dyDescent="0.2">
      <c r="A50" t="str">
        <f>"cash flow from continuing investing activities"</f>
        <v>cash flow from continuing investing activities</v>
      </c>
      <c r="B50" t="str">
        <f>"-45977"</f>
        <v>-45977</v>
      </c>
      <c r="C50" t="str">
        <f>"-46446"</f>
        <v>-46446</v>
      </c>
      <c r="D50" t="str">
        <f>"16066"</f>
        <v>16066</v>
      </c>
      <c r="E50" t="str">
        <f>"45896"</f>
        <v>45896</v>
      </c>
      <c r="F50" t="str">
        <f>"-4289"</f>
        <v>-4289</v>
      </c>
    </row>
    <row r="51" spans="1:6" x14ac:dyDescent="0.2">
      <c r="A51" t="str">
        <f>"capital expenditure reported"</f>
        <v>capital expenditure reported</v>
      </c>
      <c r="B51" t="str">
        <f>"—"</f>
        <v>—</v>
      </c>
      <c r="C51" t="str">
        <f>"—"</f>
        <v>—</v>
      </c>
      <c r="D51" t="str">
        <f>"—"</f>
        <v>—</v>
      </c>
      <c r="E51" t="str">
        <f>"—"</f>
        <v>—</v>
      </c>
      <c r="F51" t="str">
        <f>"—"</f>
        <v>—</v>
      </c>
    </row>
    <row r="52" spans="1:6" x14ac:dyDescent="0.2">
      <c r="A52" t="str">
        <f>"net ppep and sale"</f>
        <v>net ppep and sale</v>
      </c>
      <c r="B52" t="str">
        <f>"-12734"</f>
        <v>-12734</v>
      </c>
      <c r="C52" t="str">
        <f>"-12451"</f>
        <v>-12451</v>
      </c>
      <c r="D52" t="str">
        <f>"-13313"</f>
        <v>-13313</v>
      </c>
      <c r="E52" t="str">
        <f>"-10495"</f>
        <v>-10495</v>
      </c>
      <c r="F52" t="str">
        <f>"-7309"</f>
        <v>-7309</v>
      </c>
    </row>
    <row r="53" spans="1:6" x14ac:dyDescent="0.2">
      <c r="A53" t="str">
        <f>"purchase of ppe"</f>
        <v>purchase of ppe</v>
      </c>
      <c r="B53" t="str">
        <f>"-12734"</f>
        <v>-12734</v>
      </c>
      <c r="C53" t="str">
        <f>"-12451"</f>
        <v>-12451</v>
      </c>
      <c r="D53" t="str">
        <f>"-13313"</f>
        <v>-13313</v>
      </c>
      <c r="E53" t="str">
        <f>"-10495"</f>
        <v>-10495</v>
      </c>
      <c r="F53" t="str">
        <f>"-7309"</f>
        <v>-7309</v>
      </c>
    </row>
    <row r="54" spans="1:6" x14ac:dyDescent="0.2">
      <c r="A54" t="str">
        <f>"sale of ppe"</f>
        <v>sale of ppe</v>
      </c>
      <c r="B54" t="str">
        <f>"—"</f>
        <v>—</v>
      </c>
      <c r="C54" t="str">
        <f>"—"</f>
        <v>—</v>
      </c>
      <c r="D54" t="str">
        <f>"—"</f>
        <v>—</v>
      </c>
      <c r="E54" t="str">
        <f>"—"</f>
        <v>—</v>
      </c>
      <c r="F54" t="str">
        <f>"—"</f>
        <v>—</v>
      </c>
    </row>
    <row r="55" spans="1:6" x14ac:dyDescent="0.2">
      <c r="A55" t="str">
        <f>"net intangibles purchase and sale"</f>
        <v>net intangibles purchase and sale</v>
      </c>
      <c r="B55" t="str">
        <f>"-814"</f>
        <v>-814</v>
      </c>
      <c r="C55" t="str">
        <f>"-344"</f>
        <v>-344</v>
      </c>
      <c r="D55" t="str">
        <f t="shared" ref="D55:F57" si="6">"—"</f>
        <v>—</v>
      </c>
      <c r="E55" t="str">
        <f t="shared" si="6"/>
        <v>—</v>
      </c>
      <c r="F55" t="str">
        <f t="shared" si="6"/>
        <v>—</v>
      </c>
    </row>
    <row r="56" spans="1:6" x14ac:dyDescent="0.2">
      <c r="A56" t="str">
        <f>"purchase of intangibles"</f>
        <v>purchase of intangibles</v>
      </c>
      <c r="B56" t="str">
        <f>"-814"</f>
        <v>-814</v>
      </c>
      <c r="C56" t="str">
        <f>"-344"</f>
        <v>-344</v>
      </c>
      <c r="D56" t="str">
        <f t="shared" si="6"/>
        <v>—</v>
      </c>
      <c r="E56" t="str">
        <f t="shared" si="6"/>
        <v>—</v>
      </c>
      <c r="F56" t="str">
        <f t="shared" si="6"/>
        <v>—</v>
      </c>
    </row>
    <row r="57" spans="1:6" x14ac:dyDescent="0.2">
      <c r="A57" t="str">
        <f>"sale of intangibles"</f>
        <v>sale of intangibles</v>
      </c>
      <c r="B57" t="str">
        <f>"—"</f>
        <v>—</v>
      </c>
      <c r="C57" t="str">
        <f>"—"</f>
        <v>—</v>
      </c>
      <c r="D57" t="str">
        <f t="shared" si="6"/>
        <v>—</v>
      </c>
      <c r="E57" t="str">
        <f t="shared" si="6"/>
        <v>—</v>
      </c>
      <c r="F57" t="str">
        <f t="shared" si="6"/>
        <v>—</v>
      </c>
    </row>
    <row r="58" spans="1:6" x14ac:dyDescent="0.2">
      <c r="A58" t="str">
        <f>"net business purchase and sale"</f>
        <v>net business purchase and sale</v>
      </c>
      <c r="B58" t="str">
        <f>"-297"</f>
        <v>-297</v>
      </c>
      <c r="C58" t="str">
        <f>"-329"</f>
        <v>-329</v>
      </c>
      <c r="D58" t="str">
        <f>"-721"</f>
        <v>-721</v>
      </c>
      <c r="E58" t="str">
        <f>"-624"</f>
        <v>-624</v>
      </c>
      <c r="F58" t="str">
        <f>"-1524"</f>
        <v>-1524</v>
      </c>
    </row>
    <row r="59" spans="1:6" x14ac:dyDescent="0.2">
      <c r="A59" t="str">
        <f>"purchase of business"</f>
        <v>purchase of business</v>
      </c>
      <c r="B59" t="str">
        <f>"-297"</f>
        <v>-297</v>
      </c>
      <c r="C59" t="str">
        <f>"-329"</f>
        <v>-329</v>
      </c>
      <c r="D59" t="str">
        <f>"-721"</f>
        <v>-721</v>
      </c>
      <c r="E59" t="str">
        <f>"-624"</f>
        <v>-624</v>
      </c>
      <c r="F59" t="str">
        <f>"-1524"</f>
        <v>-1524</v>
      </c>
    </row>
    <row r="60" spans="1:6" x14ac:dyDescent="0.2">
      <c r="A60" t="str">
        <f>"sale of business"</f>
        <v>sale of business</v>
      </c>
      <c r="B60" t="str">
        <f t="shared" ref="B60:F63" si="7">"—"</f>
        <v>—</v>
      </c>
      <c r="C60" t="str">
        <f t="shared" si="7"/>
        <v>—</v>
      </c>
      <c r="D60" t="str">
        <f t="shared" si="7"/>
        <v>—</v>
      </c>
      <c r="E60" t="str">
        <f t="shared" si="7"/>
        <v>—</v>
      </c>
      <c r="F60" t="str">
        <f t="shared" si="7"/>
        <v>—</v>
      </c>
    </row>
    <row r="61" spans="1:6" x14ac:dyDescent="0.2">
      <c r="A61" t="str">
        <f>"net investment properties purchase and sale"</f>
        <v>net investment properties purchase and sale</v>
      </c>
      <c r="B61" t="str">
        <f t="shared" si="7"/>
        <v>—</v>
      </c>
      <c r="C61" t="str">
        <f t="shared" si="7"/>
        <v>—</v>
      </c>
      <c r="D61" t="str">
        <f t="shared" si="7"/>
        <v>—</v>
      </c>
      <c r="E61" t="str">
        <f t="shared" si="7"/>
        <v>—</v>
      </c>
      <c r="F61" t="str">
        <f t="shared" si="7"/>
        <v>—</v>
      </c>
    </row>
    <row r="62" spans="1:6" x14ac:dyDescent="0.2">
      <c r="A62" t="str">
        <f>"purchase of investment properties"</f>
        <v>purchase of investment properties</v>
      </c>
      <c r="B62" t="str">
        <f t="shared" si="7"/>
        <v>—</v>
      </c>
      <c r="C62" t="str">
        <f t="shared" si="7"/>
        <v>—</v>
      </c>
      <c r="D62" t="str">
        <f t="shared" si="7"/>
        <v>—</v>
      </c>
      <c r="E62" t="str">
        <f t="shared" si="7"/>
        <v>—</v>
      </c>
      <c r="F62" t="str">
        <f t="shared" si="7"/>
        <v>—</v>
      </c>
    </row>
    <row r="63" spans="1:6" x14ac:dyDescent="0.2">
      <c r="A63" t="str">
        <f>"sale of investment properties"</f>
        <v>sale of investment properties</v>
      </c>
      <c r="B63" t="str">
        <f t="shared" si="7"/>
        <v>—</v>
      </c>
      <c r="C63" t="str">
        <f t="shared" si="7"/>
        <v>—</v>
      </c>
      <c r="D63" t="str">
        <f t="shared" si="7"/>
        <v>—</v>
      </c>
      <c r="E63" t="str">
        <f t="shared" si="7"/>
        <v>—</v>
      </c>
      <c r="F63" t="str">
        <f t="shared" si="7"/>
        <v>—</v>
      </c>
    </row>
    <row r="64" spans="1:6" x14ac:dyDescent="0.2">
      <c r="A64" t="str">
        <f>"net investment purchase and sale"</f>
        <v>net investment purchase and sale</v>
      </c>
      <c r="B64" t="str">
        <f>"-32022"</f>
        <v>-32022</v>
      </c>
      <c r="C64" t="str">
        <f>"-33542"</f>
        <v>-33542</v>
      </c>
      <c r="D64" t="str">
        <f>"30845"</f>
        <v>30845</v>
      </c>
      <c r="E64" t="str">
        <f>"58093"</f>
        <v>58093</v>
      </c>
      <c r="F64" t="str">
        <f>"5335"</f>
        <v>5335</v>
      </c>
    </row>
    <row r="65" spans="1:6" x14ac:dyDescent="0.2">
      <c r="A65" t="str">
        <f>"purchase of investment"</f>
        <v>purchase of investment</v>
      </c>
      <c r="B65" t="str">
        <f>"-143816"</f>
        <v>-143816</v>
      </c>
      <c r="C65" t="str">
        <f>"-160007"</f>
        <v>-160007</v>
      </c>
      <c r="D65" t="str">
        <f>"-73227"</f>
        <v>-73227</v>
      </c>
      <c r="E65" t="str">
        <f>"-40631"</f>
        <v>-40631</v>
      </c>
      <c r="F65" t="str">
        <f>"-115148"</f>
        <v>-115148</v>
      </c>
    </row>
    <row r="66" spans="1:6" x14ac:dyDescent="0.2">
      <c r="A66" t="str">
        <f>"sale of investment"</f>
        <v>sale of investment</v>
      </c>
      <c r="B66" t="str">
        <f>"111794"</f>
        <v>111794</v>
      </c>
      <c r="C66" t="str">
        <f>"126465"</f>
        <v>126465</v>
      </c>
      <c r="D66" t="str">
        <f>"104072"</f>
        <v>104072</v>
      </c>
      <c r="E66" t="str">
        <f>"98724"</f>
        <v>98724</v>
      </c>
      <c r="F66" t="str">
        <f>"120483"</f>
        <v>120483</v>
      </c>
    </row>
    <row r="67" spans="1:6" x14ac:dyDescent="0.2">
      <c r="A67" t="str">
        <f>"dividends received cfi"</f>
        <v>dividends received cfi</v>
      </c>
      <c r="B67" t="str">
        <f t="shared" ref="B67:F68" si="8">"—"</f>
        <v>—</v>
      </c>
      <c r="C67" t="str">
        <f t="shared" si="8"/>
        <v>—</v>
      </c>
      <c r="D67" t="str">
        <f t="shared" si="8"/>
        <v>—</v>
      </c>
      <c r="E67" t="str">
        <f t="shared" si="8"/>
        <v>—</v>
      </c>
      <c r="F67" t="str">
        <f t="shared" si="8"/>
        <v>—</v>
      </c>
    </row>
    <row r="68" spans="1:6" x14ac:dyDescent="0.2">
      <c r="A68" t="str">
        <f>"interest received cfi"</f>
        <v>interest received cfi</v>
      </c>
      <c r="B68" t="str">
        <f t="shared" si="8"/>
        <v>—</v>
      </c>
      <c r="C68" t="str">
        <f t="shared" si="8"/>
        <v>—</v>
      </c>
      <c r="D68" t="str">
        <f t="shared" si="8"/>
        <v>—</v>
      </c>
      <c r="E68" t="str">
        <f t="shared" si="8"/>
        <v>—</v>
      </c>
      <c r="F68" t="str">
        <f t="shared" si="8"/>
        <v>—</v>
      </c>
    </row>
    <row r="69" spans="1:6" x14ac:dyDescent="0.2">
      <c r="A69" t="str">
        <f>"net other investing changes"</f>
        <v>net other investing changes</v>
      </c>
      <c r="B69" t="str">
        <f>"-924"</f>
        <v>-924</v>
      </c>
      <c r="C69" t="str">
        <f>"-124"</f>
        <v>-124</v>
      </c>
      <c r="D69" t="str">
        <f>"-745"</f>
        <v>-745</v>
      </c>
      <c r="E69" t="str">
        <f>"-1078"</f>
        <v>-1078</v>
      </c>
      <c r="F69" t="str">
        <f>"-791"</f>
        <v>-791</v>
      </c>
    </row>
    <row r="70" spans="1:6" x14ac:dyDescent="0.2">
      <c r="A70" t="str">
        <f>"cash from discontinued investing activities"</f>
        <v>cash from discontinued investing activities</v>
      </c>
      <c r="B70" t="str">
        <f>"—"</f>
        <v>—</v>
      </c>
      <c r="C70" t="str">
        <f>"—"</f>
        <v>—</v>
      </c>
      <c r="D70" t="str">
        <f>"—"</f>
        <v>—</v>
      </c>
      <c r="E70" t="str">
        <f>"—"</f>
        <v>—</v>
      </c>
      <c r="F70" t="str">
        <f>"—"</f>
        <v>—</v>
      </c>
    </row>
    <row r="71" spans="1:6" x14ac:dyDescent="0.2">
      <c r="A71" t="str">
        <f>"financing cash flow"</f>
        <v>financing cash flow</v>
      </c>
      <c r="B71" t="str">
        <f>"-20890"</f>
        <v>-20890</v>
      </c>
      <c r="C71" t="str">
        <f>"-17974"</f>
        <v>-17974</v>
      </c>
      <c r="D71" t="str">
        <f>"-87876"</f>
        <v>-87876</v>
      </c>
      <c r="E71" t="str">
        <f>"-90976"</f>
        <v>-90976</v>
      </c>
      <c r="F71" t="str">
        <f>"-86820"</f>
        <v>-86820</v>
      </c>
    </row>
    <row r="72" spans="1:6" x14ac:dyDescent="0.2">
      <c r="A72" t="str">
        <f>"cash flow from continuing financing activities"</f>
        <v>cash flow from continuing financing activities</v>
      </c>
      <c r="B72" t="str">
        <f>"-20890"</f>
        <v>-20890</v>
      </c>
      <c r="C72" t="str">
        <f>"-17974"</f>
        <v>-17974</v>
      </c>
      <c r="D72" t="str">
        <f>"-87876"</f>
        <v>-87876</v>
      </c>
      <c r="E72" t="str">
        <f>"-90976"</f>
        <v>-90976</v>
      </c>
      <c r="F72" t="str">
        <f>"-86820"</f>
        <v>-86820</v>
      </c>
    </row>
    <row r="73" spans="1:6" x14ac:dyDescent="0.2">
      <c r="A73" t="str">
        <f>"net issuance payments of debt"</f>
        <v>net issuance payments of debt</v>
      </c>
      <c r="B73" t="str">
        <f>"22057"</f>
        <v>22057</v>
      </c>
      <c r="C73" t="str">
        <f>"29014"</f>
        <v>29014</v>
      </c>
      <c r="D73" t="str">
        <f>"432"</f>
        <v>432</v>
      </c>
      <c r="E73" t="str">
        <f>"-7819"</f>
        <v>-7819</v>
      </c>
      <c r="F73" t="str">
        <f>"2499"</f>
        <v>2499</v>
      </c>
    </row>
    <row r="74" spans="1:6" x14ac:dyDescent="0.2">
      <c r="A74" t="str">
        <f>"net long term debt issuance"</f>
        <v>net long term debt issuance</v>
      </c>
      <c r="B74" t="str">
        <f>"22454"</f>
        <v>22454</v>
      </c>
      <c r="C74" t="str">
        <f>"25162"</f>
        <v>25162</v>
      </c>
      <c r="D74" t="str">
        <f>"469"</f>
        <v>469</v>
      </c>
      <c r="E74" t="str">
        <f>"-1842"</f>
        <v>-1842</v>
      </c>
      <c r="F74" t="str">
        <f>"3462"</f>
        <v>3462</v>
      </c>
    </row>
    <row r="75" spans="1:6" x14ac:dyDescent="0.2">
      <c r="A75" t="str">
        <f>"long term debt issuance"</f>
        <v>long term debt issuance</v>
      </c>
      <c r="B75" t="str">
        <f>"24954"</f>
        <v>24954</v>
      </c>
      <c r="C75" t="str">
        <f>"28662"</f>
        <v>28662</v>
      </c>
      <c r="D75" t="str">
        <f>"6969"</f>
        <v>6969</v>
      </c>
      <c r="E75" t="str">
        <f>"6963"</f>
        <v>6963</v>
      </c>
      <c r="F75" t="str">
        <f>"16091"</f>
        <v>16091</v>
      </c>
    </row>
    <row r="76" spans="1:6" x14ac:dyDescent="0.2">
      <c r="A76" t="str">
        <f>"long term debt payments"</f>
        <v>long term debt payments</v>
      </c>
      <c r="B76" t="str">
        <f>"-2500"</f>
        <v>-2500</v>
      </c>
      <c r="C76" t="str">
        <f>"-3500"</f>
        <v>-3500</v>
      </c>
      <c r="D76" t="str">
        <f>"-6500"</f>
        <v>-6500</v>
      </c>
      <c r="E76" t="str">
        <f>"-8805"</f>
        <v>-8805</v>
      </c>
      <c r="F76" t="str">
        <f>"-12629"</f>
        <v>-12629</v>
      </c>
    </row>
    <row r="77" spans="1:6" x14ac:dyDescent="0.2">
      <c r="A77" t="str">
        <f>"net short term debt issuance"</f>
        <v>net short term debt issuance</v>
      </c>
      <c r="B77" t="str">
        <f>"-397"</f>
        <v>-397</v>
      </c>
      <c r="C77" t="str">
        <f>"3852"</f>
        <v>3852</v>
      </c>
      <c r="D77" t="str">
        <f>"-37"</f>
        <v>-37</v>
      </c>
      <c r="E77" t="str">
        <f>"-5977"</f>
        <v>-5977</v>
      </c>
      <c r="F77" t="str">
        <f>"-963"</f>
        <v>-963</v>
      </c>
    </row>
    <row r="78" spans="1:6" x14ac:dyDescent="0.2">
      <c r="A78" t="str">
        <f>"short term debt issuance"</f>
        <v>short term debt issuance</v>
      </c>
      <c r="B78" t="str">
        <f>"—"</f>
        <v>—</v>
      </c>
      <c r="C78" t="str">
        <f>"—"</f>
        <v>—</v>
      </c>
      <c r="D78" t="str">
        <f>"—"</f>
        <v>—</v>
      </c>
      <c r="E78" t="str">
        <f>"—"</f>
        <v>—</v>
      </c>
      <c r="F78" t="str">
        <f>"—"</f>
        <v>—</v>
      </c>
    </row>
    <row r="79" spans="1:6" x14ac:dyDescent="0.2">
      <c r="A79" t="str">
        <f>"short term debt payments"</f>
        <v>short term debt payments</v>
      </c>
      <c r="B79" t="str">
        <f>"—"</f>
        <v>—</v>
      </c>
      <c r="C79" t="str">
        <f>"—"</f>
        <v>—</v>
      </c>
      <c r="D79" t="str">
        <f>"—"</f>
        <v>—</v>
      </c>
      <c r="E79" t="str">
        <f>"—"</f>
        <v>—</v>
      </c>
      <c r="F79" t="str">
        <f>"-963"</f>
        <v>-963</v>
      </c>
    </row>
    <row r="80" spans="1:6" x14ac:dyDescent="0.2">
      <c r="A80" t="str">
        <f>"net common stock issuance"</f>
        <v>net common stock issuance</v>
      </c>
      <c r="B80" t="str">
        <f>"-29227"</f>
        <v>-29227</v>
      </c>
      <c r="C80" t="str">
        <f>"-32345"</f>
        <v>-32345</v>
      </c>
      <c r="D80" t="str">
        <f>"-72069"</f>
        <v>-72069</v>
      </c>
      <c r="E80" t="str">
        <f>"-66116"</f>
        <v>-66116</v>
      </c>
      <c r="F80" t="str">
        <f>"-71478"</f>
        <v>-71478</v>
      </c>
    </row>
    <row r="81" spans="1:6" x14ac:dyDescent="0.2">
      <c r="A81" t="str">
        <f>"common stock issuance"</f>
        <v>common stock issuance</v>
      </c>
      <c r="B81" t="str">
        <f>"495"</f>
        <v>495</v>
      </c>
      <c r="C81" t="str">
        <f>"555"</f>
        <v>555</v>
      </c>
      <c r="D81" t="str">
        <f>"669"</f>
        <v>669</v>
      </c>
      <c r="E81" t="str">
        <f>"781"</f>
        <v>781</v>
      </c>
      <c r="F81" t="str">
        <f>"880"</f>
        <v>880</v>
      </c>
    </row>
    <row r="82" spans="1:6" x14ac:dyDescent="0.2">
      <c r="A82" t="str">
        <f>"common stock payments"</f>
        <v>common stock payments</v>
      </c>
      <c r="B82" t="str">
        <f>"-29722"</f>
        <v>-29722</v>
      </c>
      <c r="C82" t="str">
        <f>"-32900"</f>
        <v>-32900</v>
      </c>
      <c r="D82" t="str">
        <f>"-72738"</f>
        <v>-72738</v>
      </c>
      <c r="E82" t="str">
        <f>"-66897"</f>
        <v>-66897</v>
      </c>
      <c r="F82" t="str">
        <f>"-72358"</f>
        <v>-72358</v>
      </c>
    </row>
    <row r="83" spans="1:6" x14ac:dyDescent="0.2">
      <c r="A83" t="str">
        <f>"net preferred stock issuance"</f>
        <v>net preferred stock issuance</v>
      </c>
      <c r="B83" t="str">
        <f t="shared" ref="B83:F85" si="9">"—"</f>
        <v>—</v>
      </c>
      <c r="C83" t="str">
        <f t="shared" si="9"/>
        <v>—</v>
      </c>
      <c r="D83" t="str">
        <f t="shared" si="9"/>
        <v>—</v>
      </c>
      <c r="E83" t="str">
        <f t="shared" si="9"/>
        <v>—</v>
      </c>
      <c r="F83" t="str">
        <f t="shared" si="9"/>
        <v>—</v>
      </c>
    </row>
    <row r="84" spans="1:6" x14ac:dyDescent="0.2">
      <c r="A84" t="str">
        <f>"preferred stock issuance"</f>
        <v>preferred stock issuance</v>
      </c>
      <c r="B84" t="str">
        <f t="shared" si="9"/>
        <v>—</v>
      </c>
      <c r="C84" t="str">
        <f t="shared" si="9"/>
        <v>—</v>
      </c>
      <c r="D84" t="str">
        <f t="shared" si="9"/>
        <v>—</v>
      </c>
      <c r="E84" t="str">
        <f t="shared" si="9"/>
        <v>—</v>
      </c>
      <c r="F84" t="str">
        <f t="shared" si="9"/>
        <v>—</v>
      </c>
    </row>
    <row r="85" spans="1:6" x14ac:dyDescent="0.2">
      <c r="A85" t="str">
        <f>"preferred stock payments"</f>
        <v>preferred stock payments</v>
      </c>
      <c r="B85" t="str">
        <f t="shared" si="9"/>
        <v>—</v>
      </c>
      <c r="C85" t="str">
        <f t="shared" si="9"/>
        <v>—</v>
      </c>
      <c r="D85" t="str">
        <f t="shared" si="9"/>
        <v>—</v>
      </c>
      <c r="E85" t="str">
        <f t="shared" si="9"/>
        <v>—</v>
      </c>
      <c r="F85" t="str">
        <f t="shared" si="9"/>
        <v>—</v>
      </c>
    </row>
    <row r="86" spans="1:6" x14ac:dyDescent="0.2">
      <c r="A86" t="str">
        <f>"Cash Dividends paid"</f>
        <v>Cash Dividends paid</v>
      </c>
      <c r="B86" t="str">
        <f>"-12150"</f>
        <v>-12150</v>
      </c>
      <c r="C86" t="str">
        <f>"-12769"</f>
        <v>-12769</v>
      </c>
      <c r="D86" t="str">
        <f>"-13712"</f>
        <v>-13712</v>
      </c>
      <c r="E86" t="str">
        <f>"-14119"</f>
        <v>-14119</v>
      </c>
      <c r="F86" t="str">
        <f>"-14081"</f>
        <v>-14081</v>
      </c>
    </row>
    <row r="87" spans="1:6" x14ac:dyDescent="0.2">
      <c r="A87" t="str">
        <f>"common stock dividend paid"</f>
        <v>common stock dividend paid</v>
      </c>
      <c r="B87" t="str">
        <f>"-12150"</f>
        <v>-12150</v>
      </c>
      <c r="C87" t="str">
        <f>"-12769"</f>
        <v>-12769</v>
      </c>
      <c r="D87" t="str">
        <f>"-13712"</f>
        <v>-13712</v>
      </c>
      <c r="E87" t="str">
        <f>"-14119"</f>
        <v>-14119</v>
      </c>
      <c r="F87" t="str">
        <f>"-14081"</f>
        <v>-14081</v>
      </c>
    </row>
    <row r="88" spans="1:6" x14ac:dyDescent="0.2">
      <c r="A88" t="str">
        <f>"preferred stock dividend paid"</f>
        <v>preferred stock dividend paid</v>
      </c>
      <c r="B88" t="str">
        <f t="shared" ref="B88:F90" si="10">"—"</f>
        <v>—</v>
      </c>
      <c r="C88" t="str">
        <f t="shared" si="10"/>
        <v>—</v>
      </c>
      <c r="D88" t="str">
        <f t="shared" si="10"/>
        <v>—</v>
      </c>
      <c r="E88" t="str">
        <f t="shared" si="10"/>
        <v>—</v>
      </c>
      <c r="F88" t="str">
        <f t="shared" si="10"/>
        <v>—</v>
      </c>
    </row>
    <row r="89" spans="1:6" x14ac:dyDescent="0.2">
      <c r="A89" t="str">
        <f>"proceeds from stock option exercised"</f>
        <v>proceeds from stock option exercised</v>
      </c>
      <c r="B89" t="str">
        <f t="shared" si="10"/>
        <v>—</v>
      </c>
      <c r="C89" t="str">
        <f t="shared" si="10"/>
        <v>—</v>
      </c>
      <c r="D89" t="str">
        <f t="shared" si="10"/>
        <v>—</v>
      </c>
      <c r="E89" t="str">
        <f t="shared" si="10"/>
        <v>—</v>
      </c>
      <c r="F89" t="str">
        <f t="shared" si="10"/>
        <v>—</v>
      </c>
    </row>
    <row r="90" spans="1:6" x14ac:dyDescent="0.2">
      <c r="A90" t="str">
        <f>"interest paid cff"</f>
        <v>interest paid cff</v>
      </c>
      <c r="B90" t="str">
        <f t="shared" si="10"/>
        <v>—</v>
      </c>
      <c r="C90" t="str">
        <f t="shared" si="10"/>
        <v>—</v>
      </c>
      <c r="D90" t="str">
        <f t="shared" si="10"/>
        <v>—</v>
      </c>
      <c r="E90" t="str">
        <f t="shared" si="10"/>
        <v>—</v>
      </c>
      <c r="F90" t="str">
        <f t="shared" si="10"/>
        <v>—</v>
      </c>
    </row>
    <row r="91" spans="1:6" x14ac:dyDescent="0.2">
      <c r="A91" t="str">
        <f>"net other financing charges"</f>
        <v>net other financing charges</v>
      </c>
      <c r="B91" t="str">
        <f>"-1570"</f>
        <v>-1570</v>
      </c>
      <c r="C91" t="str">
        <f>"-1874"</f>
        <v>-1874</v>
      </c>
      <c r="D91" t="str">
        <f>"-2527"</f>
        <v>-2527</v>
      </c>
      <c r="E91" t="str">
        <f>"-2922"</f>
        <v>-2922</v>
      </c>
      <c r="F91" t="str">
        <f>"-3760"</f>
        <v>-3760</v>
      </c>
    </row>
    <row r="92" spans="1:6" x14ac:dyDescent="0.2">
      <c r="A92" t="str">
        <f>"cash from discontinued financing activities"</f>
        <v>cash from discontinued financing activities</v>
      </c>
      <c r="B92" t="str">
        <f t="shared" ref="B92:F94" si="11">"—"</f>
        <v>—</v>
      </c>
      <c r="C92" t="str">
        <f t="shared" si="11"/>
        <v>—</v>
      </c>
      <c r="D92" t="str">
        <f t="shared" si="11"/>
        <v>—</v>
      </c>
      <c r="E92" t="str">
        <f t="shared" si="11"/>
        <v>—</v>
      </c>
      <c r="F92" t="str">
        <f t="shared" si="11"/>
        <v>—</v>
      </c>
    </row>
    <row r="93" spans="1:6" x14ac:dyDescent="0.2">
      <c r="A93" t="str">
        <f>"cash flow from discontinued operation"</f>
        <v>cash flow from discontinued operation</v>
      </c>
      <c r="B93" t="str">
        <f t="shared" si="11"/>
        <v>—</v>
      </c>
      <c r="C93" t="str">
        <f t="shared" si="11"/>
        <v>—</v>
      </c>
      <c r="D93" t="str">
        <f t="shared" si="11"/>
        <v>—</v>
      </c>
      <c r="E93" t="str">
        <f t="shared" si="11"/>
        <v>—</v>
      </c>
      <c r="F93" t="str">
        <f t="shared" si="11"/>
        <v>—</v>
      </c>
    </row>
    <row r="94" spans="1:6" x14ac:dyDescent="0.2">
      <c r="A94" t="str">
        <f>"other cash adjustment inside change in cash"</f>
        <v>other cash adjustment inside change in cash</v>
      </c>
      <c r="B94" t="str">
        <f t="shared" si="11"/>
        <v>—</v>
      </c>
      <c r="C94" t="str">
        <f t="shared" si="11"/>
        <v>—</v>
      </c>
      <c r="D94" t="str">
        <f t="shared" si="11"/>
        <v>—</v>
      </c>
      <c r="E94" t="str">
        <f t="shared" si="11"/>
        <v>—</v>
      </c>
      <c r="F94" t="str">
        <f t="shared" si="11"/>
        <v>—</v>
      </c>
    </row>
    <row r="95" spans="1:6" x14ac:dyDescent="0.2">
      <c r="A95" t="str">
        <f>"end cash position"</f>
        <v>end cash position</v>
      </c>
      <c r="B95" t="str">
        <f>"20484"</f>
        <v>20484</v>
      </c>
      <c r="C95" t="str">
        <f>"20289"</f>
        <v>20289</v>
      </c>
      <c r="D95" t="str">
        <f>"25913"</f>
        <v>25913</v>
      </c>
      <c r="E95" t="str">
        <f>"50224"</f>
        <v>50224</v>
      </c>
      <c r="F95" t="str">
        <f>"39789"</f>
        <v>39789</v>
      </c>
    </row>
    <row r="96" spans="1:6" x14ac:dyDescent="0.2">
      <c r="A96" t="str">
        <f>"changes in cash"</f>
        <v>changes in cash</v>
      </c>
      <c r="B96" t="str">
        <f>"-636"</f>
        <v>-636</v>
      </c>
      <c r="C96" t="str">
        <f>"-195"</f>
        <v>-195</v>
      </c>
      <c r="D96" t="str">
        <f>"5624"</f>
        <v>5624</v>
      </c>
      <c r="E96" t="str">
        <f>"24311"</f>
        <v>24311</v>
      </c>
      <c r="F96" t="str">
        <f>"-10435"</f>
        <v>-10435</v>
      </c>
    </row>
    <row r="97" spans="1:6" x14ac:dyDescent="0.2">
      <c r="A97" t="str">
        <f>"Effect of Exchange Rate Changes"</f>
        <v>Effect of Exchange Rate Changes</v>
      </c>
      <c r="B97" t="str">
        <f>"—"</f>
        <v>—</v>
      </c>
      <c r="C97" t="str">
        <f>"—"</f>
        <v>—</v>
      </c>
      <c r="D97" t="str">
        <f>"—"</f>
        <v>—</v>
      </c>
      <c r="E97" t="str">
        <f>"—"</f>
        <v>—</v>
      </c>
      <c r="F97" t="str">
        <f>"—"</f>
        <v>—</v>
      </c>
    </row>
    <row r="98" spans="1:6" x14ac:dyDescent="0.2">
      <c r="A98" t="str">
        <f>"beginning cash position"</f>
        <v>beginning cash position</v>
      </c>
      <c r="B98" t="str">
        <f>"21120"</f>
        <v>21120</v>
      </c>
      <c r="C98" t="str">
        <f>"20484"</f>
        <v>20484</v>
      </c>
      <c r="D98" t="str">
        <f>"20289"</f>
        <v>20289</v>
      </c>
      <c r="E98" t="str">
        <f>"25913"</f>
        <v>25913</v>
      </c>
      <c r="F98" t="str">
        <f>"50224"</f>
        <v>50224</v>
      </c>
    </row>
    <row r="99" spans="1:6" x14ac:dyDescent="0.2">
      <c r="A99" t="str">
        <f>"other cash adjustment outside change in cash"</f>
        <v>other cash adjustment outside change in cash</v>
      </c>
      <c r="B99" t="str">
        <f>"—"</f>
        <v>—</v>
      </c>
      <c r="C99" t="str">
        <f>"—"</f>
        <v>—</v>
      </c>
      <c r="D99" t="str">
        <f>"—"</f>
        <v>—</v>
      </c>
      <c r="E99" t="str">
        <f>"—"</f>
        <v>—</v>
      </c>
      <c r="F99" t="str">
        <f>"—"</f>
        <v>—</v>
      </c>
    </row>
    <row r="100" spans="1:6" x14ac:dyDescent="0.2">
      <c r="A100" t="str">
        <f>"income tax paid supplemental data"</f>
        <v>income tax paid supplemental data</v>
      </c>
      <c r="B100" t="str">
        <f>"10444"</f>
        <v>10444</v>
      </c>
      <c r="C100" t="str">
        <f>"11591"</f>
        <v>11591</v>
      </c>
      <c r="D100" t="str">
        <f>"10417"</f>
        <v>10417</v>
      </c>
      <c r="E100" t="str">
        <f>"15263"</f>
        <v>15263</v>
      </c>
      <c r="F100" t="str">
        <f>"9501"</f>
        <v>9501</v>
      </c>
    </row>
    <row r="101" spans="1:6" x14ac:dyDescent="0.2">
      <c r="A101" t="str">
        <f>"interest paid supplemental data"</f>
        <v>interest paid supplemental data</v>
      </c>
      <c r="B101" t="str">
        <f>"1316"</f>
        <v>1316</v>
      </c>
      <c r="C101" t="str">
        <f>"2092"</f>
        <v>2092</v>
      </c>
      <c r="D101" t="str">
        <f>"3022"</f>
        <v>3022</v>
      </c>
      <c r="E101" t="str">
        <f>"3423"</f>
        <v>3423</v>
      </c>
      <c r="F101" t="str">
        <f>"3002"</f>
        <v>3002</v>
      </c>
    </row>
    <row r="102" spans="1:6" x14ac:dyDescent="0.2">
      <c r="A102" t="str">
        <f>"capital expenditure"</f>
        <v>capital expenditure</v>
      </c>
      <c r="B102" t="str">
        <f>"-12734"</f>
        <v>-12734</v>
      </c>
      <c r="C102" t="str">
        <f>"-12451"</f>
        <v>-12451</v>
      </c>
      <c r="D102" t="str">
        <f>"-13313"</f>
        <v>-13313</v>
      </c>
      <c r="E102" t="str">
        <f>"-10495"</f>
        <v>-10495</v>
      </c>
      <c r="F102" t="str">
        <f>"-7309"</f>
        <v>-7309</v>
      </c>
    </row>
    <row r="103" spans="1:6" x14ac:dyDescent="0.2">
      <c r="A103" t="str">
        <f>"Issuance of Capital Stock"</f>
        <v>Issuance of Capital Stock</v>
      </c>
      <c r="B103" t="str">
        <f>"495"</f>
        <v>495</v>
      </c>
      <c r="C103" t="str">
        <f>"555"</f>
        <v>555</v>
      </c>
      <c r="D103" t="str">
        <f>"669"</f>
        <v>669</v>
      </c>
      <c r="E103" t="str">
        <f>"781"</f>
        <v>781</v>
      </c>
      <c r="F103" t="str">
        <f>"880"</f>
        <v>880</v>
      </c>
    </row>
    <row r="104" spans="1:6" x14ac:dyDescent="0.2">
      <c r="A104" t="str">
        <f>"Issuance of Debt"</f>
        <v>Issuance of Debt</v>
      </c>
      <c r="B104" t="str">
        <f>"24954"</f>
        <v>24954</v>
      </c>
      <c r="C104" t="str">
        <f>"28662"</f>
        <v>28662</v>
      </c>
      <c r="D104" t="str">
        <f>"6969"</f>
        <v>6969</v>
      </c>
      <c r="E104" t="str">
        <f>"6963"</f>
        <v>6963</v>
      </c>
      <c r="F104" t="str">
        <f>"16091"</f>
        <v>16091</v>
      </c>
    </row>
    <row r="105" spans="1:6" x14ac:dyDescent="0.2">
      <c r="A105" t="str">
        <f>"Repayment of Debt"</f>
        <v>Repayment of Debt</v>
      </c>
      <c r="B105" t="str">
        <f>"-2500"</f>
        <v>-2500</v>
      </c>
      <c r="C105" t="str">
        <f>"-3500"</f>
        <v>-3500</v>
      </c>
      <c r="D105" t="str">
        <f>"-6500"</f>
        <v>-6500</v>
      </c>
      <c r="E105" t="str">
        <f>"-8805"</f>
        <v>-8805</v>
      </c>
      <c r="F105" t="str">
        <f>"-12629"</f>
        <v>-12629</v>
      </c>
    </row>
    <row r="106" spans="1:6" x14ac:dyDescent="0.2">
      <c r="A106" t="str">
        <f>"Repurchase of Capital Stock"</f>
        <v>Repurchase of Capital Stock</v>
      </c>
      <c r="B106" t="str">
        <f>"—"</f>
        <v>—</v>
      </c>
      <c r="C106" t="str">
        <f>"—"</f>
        <v>—</v>
      </c>
      <c r="D106" t="str">
        <f>"—"</f>
        <v>—</v>
      </c>
      <c r="E106" t="str">
        <f>"—"</f>
        <v>—</v>
      </c>
      <c r="F106" t="str">
        <f>"—"</f>
        <v>—</v>
      </c>
    </row>
    <row r="107" spans="1:6" x14ac:dyDescent="0.2">
      <c r="A107" t="str">
        <f>"free cash flow"</f>
        <v>free cash flow</v>
      </c>
      <c r="B107" t="str">
        <f>"53497"</f>
        <v>53497</v>
      </c>
      <c r="C107" t="str">
        <f>"51774"</f>
        <v>51774</v>
      </c>
      <c r="D107" t="str">
        <f>"64121"</f>
        <v>64121</v>
      </c>
      <c r="E107" t="str">
        <f>"58896"</f>
        <v>58896</v>
      </c>
      <c r="F107" t="str">
        <f>"73365"</f>
        <v>73365</v>
      </c>
    </row>
    <row r="108" spans="1:6" x14ac:dyDescent="0.2">
      <c r="A108" t="str">
        <f>"adjusted geography segment data"</f>
        <v>adjusted geography segment data</v>
      </c>
      <c r="B108" t="str">
        <f t="shared" ref="B108:F110" si="12">"—"</f>
        <v>—</v>
      </c>
      <c r="C108" t="str">
        <f t="shared" si="12"/>
        <v>—</v>
      </c>
      <c r="D108" t="str">
        <f t="shared" si="12"/>
        <v>—</v>
      </c>
      <c r="E108" t="str">
        <f t="shared" si="12"/>
        <v>—</v>
      </c>
      <c r="F108" t="str">
        <f t="shared" si="12"/>
        <v>—</v>
      </c>
    </row>
    <row r="109" spans="1:6" x14ac:dyDescent="0.2">
      <c r="A109" t="str">
        <f>"domestic sales"</f>
        <v>domestic sales</v>
      </c>
      <c r="B109" t="str">
        <f t="shared" si="12"/>
        <v>—</v>
      </c>
      <c r="C109" t="str">
        <f t="shared" si="12"/>
        <v>—</v>
      </c>
      <c r="D109" t="str">
        <f t="shared" si="12"/>
        <v>—</v>
      </c>
      <c r="E109" t="str">
        <f t="shared" si="12"/>
        <v>—</v>
      </c>
      <c r="F109" t="str">
        <f t="shared" si="12"/>
        <v>—</v>
      </c>
    </row>
    <row r="110" spans="1:6" x14ac:dyDescent="0.2">
      <c r="A110" t="str">
        <f>"foreign sales"</f>
        <v>foreign sales</v>
      </c>
      <c r="B110" t="str">
        <f t="shared" si="12"/>
        <v>—</v>
      </c>
      <c r="C110" t="str">
        <f t="shared" si="12"/>
        <v>—</v>
      </c>
      <c r="D110" t="str">
        <f t="shared" si="12"/>
        <v>—</v>
      </c>
      <c r="E110" t="str">
        <f t="shared" si="12"/>
        <v>—</v>
      </c>
      <c r="F110" t="str">
        <f t="shared" si="12"/>
        <v>—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Annual_CashFlow_AAPL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Roe</dc:creator>
  <cp:lastModifiedBy>Stephen Roe</cp:lastModifiedBy>
  <dcterms:created xsi:type="dcterms:W3CDTF">2021-10-15T11:22:05Z</dcterms:created>
  <dcterms:modified xsi:type="dcterms:W3CDTF">2021-10-15T11:22:05Z</dcterms:modified>
</cp:coreProperties>
</file>