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oe/CommaProjects/WN-Comrate/tools/inputs/"/>
    </mc:Choice>
  </mc:AlternateContent>
  <xr:revisionPtr revIDLastSave="0" documentId="13_ncr:40009_{F5D8A345-E4BF-6645-88BF-FDBAAC2CB190}" xr6:coauthVersionLast="47" xr6:coauthVersionMax="47" xr10:uidLastSave="{00000000-0000-0000-0000-000000000000}"/>
  <bookViews>
    <workbookView xWindow="57100" yWindow="-1740" windowWidth="25900" windowHeight="24280"/>
  </bookViews>
  <sheets>
    <sheet name="Annual_BalanceSheet_AAP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1" l="1"/>
  <c r="B112" i="1"/>
  <c r="B96" i="1"/>
  <c r="B1" i="1"/>
  <c r="C1" i="1"/>
  <c r="D1" i="1"/>
  <c r="E1" i="1"/>
  <c r="F1" i="1"/>
  <c r="G1" i="1"/>
  <c r="B2" i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C112" i="1"/>
  <c r="D112" i="1"/>
  <c r="E112" i="1"/>
  <c r="F112" i="1"/>
  <c r="G112" i="1"/>
  <c r="B113" i="1"/>
  <c r="C113" i="1"/>
  <c r="D113" i="1"/>
  <c r="E113" i="1"/>
  <c r="F113" i="1"/>
  <c r="G113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</calcChain>
</file>

<file path=xl/sharedStrings.xml><?xml version="1.0" encoding="utf-8"?>
<sst xmlns="http://schemas.openxmlformats.org/spreadsheetml/2006/main" count="28" uniqueCount="28">
  <si>
    <t>Cash</t>
  </si>
  <si>
    <t>Accounts Payable</t>
  </si>
  <si>
    <t>Accounts Receivable</t>
  </si>
  <si>
    <t>Accrued Expenses Payable</t>
  </si>
  <si>
    <t>Inventory</t>
  </si>
  <si>
    <t>Short Term Notes Payable</t>
  </si>
  <si>
    <t>Prepaid Expenses</t>
  </si>
  <si>
    <t>Other Short Term Liabilities</t>
  </si>
  <si>
    <t>Total Current Assets</t>
  </si>
  <si>
    <t>Total Current Liabilities</t>
  </si>
  <si>
    <t>Property, Plant &amp; Equipment</t>
  </si>
  <si>
    <t>Long Term Notes Payable</t>
  </si>
  <si>
    <t>Accumulated Depreciation</t>
  </si>
  <si>
    <t>Other Long Term Liabilities</t>
  </si>
  <si>
    <t>Net Fixed Assets</t>
  </si>
  <si>
    <t>Total Non-Current Liabilities</t>
  </si>
  <si>
    <t>Capital Stock</t>
  </si>
  <si>
    <t>Intangible Assets</t>
  </si>
  <si>
    <t>Retained Earnings (Deficit)</t>
  </si>
  <si>
    <t>Total Other Assets</t>
  </si>
  <si>
    <t>Total Shareholder’s Equity</t>
  </si>
  <si>
    <t>Total Assets</t>
  </si>
  <si>
    <t>Total Liabilities &amp; Shareholder’s Equity</t>
  </si>
  <si>
    <t>=r73+…</t>
  </si>
  <si>
    <t>=r84+…</t>
  </si>
  <si>
    <t>=r97…</t>
  </si>
  <si>
    <t>=r113</t>
  </si>
  <si>
    <t>=r114+115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</si>
</sst>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topLeftCell="A92" workbookViewId="0">
      <selection activeCell="B114" sqref="B114"/>
    </sheetView>
  </sheetViews>
  <sheetFormatPr baseColWidth="10" defaultRowHeight="16" outlineLevelRow="1" x14ac:dyDescent="0.2"/>
  <cols>
    <col min="1" max="1" width="47.6640625" customWidth="1"/>
    <col min="2" max="2" width="56.1640625" bestFit="1" customWidth="1"/>
  </cols>
  <sheetData>
    <row r="1" spans="1:7" x14ac:dyDescent="0.2">
      <c r="B1" t="str">
        <f>"Fiscal Year ends in Sep - USD in Millions except per share data"</f>
        <v>Fiscal Year ends in Sep - USD in Millions except per share data</v>
      </c>
      <c r="C1" t="str">
        <f>"Sep 16"</f>
        <v>Sep 16</v>
      </c>
      <c r="D1" t="str">
        <f>"Sep 17"</f>
        <v>Sep 17</v>
      </c>
      <c r="E1" t="str">
        <f>"Sep 18"</f>
        <v>Sep 18</v>
      </c>
      <c r="F1" t="str">
        <f>"Sep 19"</f>
        <v>Sep 19</v>
      </c>
      <c r="G1" t="str">
        <f>"Sep 20"</f>
        <v>Sep 20</v>
      </c>
    </row>
    <row r="2" spans="1:7" x14ac:dyDescent="0.2">
      <c r="A2" t="s">
        <v>21</v>
      </c>
      <c r="B2" t="str">
        <f>"Total Assets"</f>
        <v>Total Assets</v>
      </c>
      <c r="C2" t="str">
        <f>"321686"</f>
        <v>321686</v>
      </c>
      <c r="D2" t="str">
        <f>"375319"</f>
        <v>375319</v>
      </c>
      <c r="E2" t="str">
        <f>"365725"</f>
        <v>365725</v>
      </c>
      <c r="F2" t="str">
        <f>"338516"</f>
        <v>338516</v>
      </c>
      <c r="G2" t="str">
        <f>"323888"</f>
        <v>323888</v>
      </c>
    </row>
    <row r="3" spans="1:7" x14ac:dyDescent="0.2">
      <c r="A3" t="s">
        <v>8</v>
      </c>
      <c r="B3" t="str">
        <f>"current assets"</f>
        <v>current assets</v>
      </c>
      <c r="C3" t="str">
        <f>"106869"</f>
        <v>106869</v>
      </c>
      <c r="D3" t="str">
        <f>"128645"</f>
        <v>128645</v>
      </c>
      <c r="E3" t="str">
        <f>"131339"</f>
        <v>131339</v>
      </c>
      <c r="F3" t="str">
        <f>"162819"</f>
        <v>162819</v>
      </c>
      <c r="G3" t="str">
        <f>"143713"</f>
        <v>143713</v>
      </c>
    </row>
    <row r="4" spans="1:7" outlineLevel="1" x14ac:dyDescent="0.2">
      <c r="B4" t="str">
        <f>"cash cash equivalents and short term investments"</f>
        <v>cash cash equivalents and short term investments</v>
      </c>
      <c r="C4" t="str">
        <f>"67155"</f>
        <v>67155</v>
      </c>
      <c r="D4" t="str">
        <f>"74181"</f>
        <v>74181</v>
      </c>
      <c r="E4" t="str">
        <f>"66301"</f>
        <v>66301</v>
      </c>
      <c r="F4" t="str">
        <f>"100557"</f>
        <v>100557</v>
      </c>
      <c r="G4" t="str">
        <f>"90943"</f>
        <v>90943</v>
      </c>
    </row>
    <row r="5" spans="1:7" outlineLevel="1" x14ac:dyDescent="0.2">
      <c r="B5" t="str">
        <f>"cash and cash equivalents"</f>
        <v>cash and cash equivalents</v>
      </c>
      <c r="C5" t="str">
        <f>"20484"</f>
        <v>20484</v>
      </c>
      <c r="D5" t="str">
        <f>"20289"</f>
        <v>20289</v>
      </c>
      <c r="E5" t="str">
        <f>"25913"</f>
        <v>25913</v>
      </c>
      <c r="F5" t="str">
        <f>"48844"</f>
        <v>48844</v>
      </c>
      <c r="G5" t="str">
        <f>"38016"</f>
        <v>38016</v>
      </c>
    </row>
    <row r="6" spans="1:7" x14ac:dyDescent="0.2">
      <c r="A6" t="s">
        <v>0</v>
      </c>
      <c r="B6" t="str">
        <f>"Cash"</f>
        <v>Cash</v>
      </c>
      <c r="C6" t="str">
        <f>"8601"</f>
        <v>8601</v>
      </c>
      <c r="D6" t="str">
        <f>"7982"</f>
        <v>7982</v>
      </c>
      <c r="E6" t="str">
        <f>"11575"</f>
        <v>11575</v>
      </c>
      <c r="F6" t="str">
        <f>"12204"</f>
        <v>12204</v>
      </c>
      <c r="G6" t="str">
        <f>"17773"</f>
        <v>17773</v>
      </c>
    </row>
    <row r="7" spans="1:7" outlineLevel="1" x14ac:dyDescent="0.2">
      <c r="B7" t="str">
        <f>"cash equivalents"</f>
        <v>cash equivalents</v>
      </c>
      <c r="C7" t="str">
        <f>"11883"</f>
        <v>11883</v>
      </c>
      <c r="D7" t="str">
        <f>"12307"</f>
        <v>12307</v>
      </c>
      <c r="E7" t="str">
        <f>"14338"</f>
        <v>14338</v>
      </c>
      <c r="F7" t="str">
        <f>"36640"</f>
        <v>36640</v>
      </c>
      <c r="G7" t="str">
        <f>"20243"</f>
        <v>20243</v>
      </c>
    </row>
    <row r="8" spans="1:7" outlineLevel="1" x14ac:dyDescent="0.2">
      <c r="B8" t="str">
        <f>"short term investments"</f>
        <v>short term investments</v>
      </c>
      <c r="C8" t="str">
        <f>"46671"</f>
        <v>46671</v>
      </c>
      <c r="D8" t="str">
        <f>"53892"</f>
        <v>53892</v>
      </c>
      <c r="E8" t="str">
        <f>"40388"</f>
        <v>40388</v>
      </c>
      <c r="F8" t="str">
        <f>"51713"</f>
        <v>51713</v>
      </c>
      <c r="G8" t="str">
        <f>"52927"</f>
        <v>52927</v>
      </c>
    </row>
    <row r="9" spans="1:7" outlineLevel="1" x14ac:dyDescent="0.2">
      <c r="B9" t="str">
        <f>"Receivables"</f>
        <v>Receivables</v>
      </c>
      <c r="C9" t="str">
        <f>"29299"</f>
        <v>29299</v>
      </c>
      <c r="D9" t="str">
        <f>"35673"</f>
        <v>35673</v>
      </c>
      <c r="E9" t="str">
        <f>"48995"</f>
        <v>48995</v>
      </c>
      <c r="F9" t="str">
        <f>"45804"</f>
        <v>45804</v>
      </c>
      <c r="G9" t="str">
        <f>"37445"</f>
        <v>37445</v>
      </c>
    </row>
    <row r="10" spans="1:7" x14ac:dyDescent="0.2">
      <c r="A10" t="s">
        <v>2</v>
      </c>
      <c r="B10" t="str">
        <f>"accounts receivable"</f>
        <v>accounts receivable</v>
      </c>
      <c r="C10" t="str">
        <f>"15754"</f>
        <v>15754</v>
      </c>
      <c r="D10" t="str">
        <f>"17874"</f>
        <v>17874</v>
      </c>
      <c r="E10" t="str">
        <f>"23186"</f>
        <v>23186</v>
      </c>
      <c r="F10" t="str">
        <f>"22926"</f>
        <v>22926</v>
      </c>
      <c r="G10" t="str">
        <f>"16120"</f>
        <v>16120</v>
      </c>
    </row>
    <row r="11" spans="1:7" outlineLevel="1" x14ac:dyDescent="0.2">
      <c r="B11" t="str">
        <f>"gross accounts receivable"</f>
        <v>gross accounts receivable</v>
      </c>
      <c r="C11" t="str">
        <f t="shared" ref="C11:G17" si="0">"—"</f>
        <v>—</v>
      </c>
      <c r="D11" t="str">
        <f t="shared" si="0"/>
        <v>—</v>
      </c>
      <c r="E11" t="str">
        <f t="shared" si="0"/>
        <v>—</v>
      </c>
      <c r="F11" t="str">
        <f t="shared" si="0"/>
        <v>—</v>
      </c>
      <c r="G11" t="str">
        <f t="shared" si="0"/>
        <v>—</v>
      </c>
    </row>
    <row r="12" spans="1:7" outlineLevel="1" x14ac:dyDescent="0.2">
      <c r="B12" t="str">
        <f>"allowance for doubtful accounts receivable"</f>
        <v>allowance for doubtful accounts receivable</v>
      </c>
      <c r="C12" t="str">
        <f t="shared" si="0"/>
        <v>—</v>
      </c>
      <c r="D12" t="str">
        <f t="shared" si="0"/>
        <v>—</v>
      </c>
      <c r="E12" t="str">
        <f t="shared" si="0"/>
        <v>—</v>
      </c>
      <c r="F12" t="str">
        <f t="shared" si="0"/>
        <v>—</v>
      </c>
      <c r="G12" t="str">
        <f t="shared" si="0"/>
        <v>—</v>
      </c>
    </row>
    <row r="13" spans="1:7" outlineLevel="1" x14ac:dyDescent="0.2">
      <c r="B13" t="str">
        <f>"loans receivable"</f>
        <v>loans receivable</v>
      </c>
      <c r="C13" t="str">
        <f t="shared" si="0"/>
        <v>—</v>
      </c>
      <c r="D13" t="str">
        <f t="shared" si="0"/>
        <v>—</v>
      </c>
      <c r="E13" t="str">
        <f t="shared" si="0"/>
        <v>—</v>
      </c>
      <c r="F13" t="str">
        <f t="shared" si="0"/>
        <v>—</v>
      </c>
      <c r="G13" t="str">
        <f t="shared" si="0"/>
        <v>—</v>
      </c>
    </row>
    <row r="14" spans="1:7" outlineLevel="1" x14ac:dyDescent="0.2">
      <c r="B14" t="str">
        <f>"notes receivable"</f>
        <v>notes receivable</v>
      </c>
      <c r="C14" t="str">
        <f t="shared" si="0"/>
        <v>—</v>
      </c>
      <c r="D14" t="str">
        <f t="shared" si="0"/>
        <v>—</v>
      </c>
      <c r="E14" t="str">
        <f t="shared" si="0"/>
        <v>—</v>
      </c>
      <c r="F14" t="str">
        <f t="shared" si="0"/>
        <v>—</v>
      </c>
      <c r="G14" t="str">
        <f t="shared" si="0"/>
        <v>—</v>
      </c>
    </row>
    <row r="15" spans="1:7" outlineLevel="1" x14ac:dyDescent="0.2">
      <c r="B15" t="str">
        <f>"accrued interest receivable"</f>
        <v>accrued interest receivable</v>
      </c>
      <c r="C15" t="str">
        <f t="shared" si="0"/>
        <v>—</v>
      </c>
      <c r="D15" t="str">
        <f t="shared" si="0"/>
        <v>—</v>
      </c>
      <c r="E15" t="str">
        <f t="shared" si="0"/>
        <v>—</v>
      </c>
      <c r="F15" t="str">
        <f t="shared" si="0"/>
        <v>—</v>
      </c>
      <c r="G15" t="str">
        <f t="shared" si="0"/>
        <v>—</v>
      </c>
    </row>
    <row r="16" spans="1:7" outlineLevel="1" x14ac:dyDescent="0.2">
      <c r="B16" t="str">
        <f>"taxes receivable"</f>
        <v>taxes receivable</v>
      </c>
      <c r="C16" t="str">
        <f t="shared" si="0"/>
        <v>—</v>
      </c>
      <c r="D16" t="str">
        <f t="shared" si="0"/>
        <v>—</v>
      </c>
      <c r="E16" t="str">
        <f t="shared" si="0"/>
        <v>—</v>
      </c>
      <c r="F16" t="str">
        <f t="shared" si="0"/>
        <v>—</v>
      </c>
      <c r="G16" t="str">
        <f t="shared" si="0"/>
        <v>—</v>
      </c>
    </row>
    <row r="17" spans="1:7" outlineLevel="1" x14ac:dyDescent="0.2">
      <c r="B17" t="str">
        <f>"duefrom related parties current"</f>
        <v>duefrom related parties current</v>
      </c>
      <c r="C17" t="str">
        <f t="shared" si="0"/>
        <v>—</v>
      </c>
      <c r="D17" t="str">
        <f t="shared" si="0"/>
        <v>—</v>
      </c>
      <c r="E17" t="str">
        <f t="shared" si="0"/>
        <v>—</v>
      </c>
      <c r="F17" t="str">
        <f t="shared" si="0"/>
        <v>—</v>
      </c>
      <c r="G17" t="str">
        <f t="shared" si="0"/>
        <v>—</v>
      </c>
    </row>
    <row r="18" spans="1:7" outlineLevel="1" x14ac:dyDescent="0.2">
      <c r="B18" t="str">
        <f>"Other Receivables"</f>
        <v>Other Receivables</v>
      </c>
      <c r="C18" t="str">
        <f>"13545"</f>
        <v>13545</v>
      </c>
      <c r="D18" t="str">
        <f>"17799"</f>
        <v>17799</v>
      </c>
      <c r="E18" t="str">
        <f>"25809"</f>
        <v>25809</v>
      </c>
      <c r="F18" t="str">
        <f>"22878"</f>
        <v>22878</v>
      </c>
      <c r="G18" t="str">
        <f>"21325"</f>
        <v>21325</v>
      </c>
    </row>
    <row r="19" spans="1:7" outlineLevel="1" x14ac:dyDescent="0.2">
      <c r="B19" t="str">
        <f>"receivables adjustments allowances"</f>
        <v>receivables adjustments allowances</v>
      </c>
      <c r="C19" t="str">
        <f>"—"</f>
        <v>—</v>
      </c>
      <c r="D19" t="str">
        <f>"—"</f>
        <v>—</v>
      </c>
      <c r="E19" t="str">
        <f>"—"</f>
        <v>—</v>
      </c>
      <c r="F19" t="str">
        <f>"—"</f>
        <v>—</v>
      </c>
      <c r="G19" t="str">
        <f>"—"</f>
        <v>—</v>
      </c>
    </row>
    <row r="20" spans="1:7" x14ac:dyDescent="0.2">
      <c r="A20" t="s">
        <v>4</v>
      </c>
      <c r="B20" t="str">
        <f>"inventory"</f>
        <v>inventory</v>
      </c>
      <c r="C20" t="str">
        <f>"2132"</f>
        <v>2132</v>
      </c>
      <c r="D20" t="str">
        <f>"4855"</f>
        <v>4855</v>
      </c>
      <c r="E20" t="str">
        <f>"3956"</f>
        <v>3956</v>
      </c>
      <c r="F20" t="str">
        <f>"4106"</f>
        <v>4106</v>
      </c>
      <c r="G20" t="str">
        <f>"4061"</f>
        <v>4061</v>
      </c>
    </row>
    <row r="21" spans="1:7" outlineLevel="1" x14ac:dyDescent="0.2">
      <c r="B21" t="str">
        <f>"raw materials"</f>
        <v>raw materials</v>
      </c>
      <c r="C21" t="str">
        <f t="shared" ref="C21:G31" si="1">"—"</f>
        <v>—</v>
      </c>
      <c r="D21" t="str">
        <f t="shared" si="1"/>
        <v>—</v>
      </c>
      <c r="E21" t="str">
        <f t="shared" si="1"/>
        <v>—</v>
      </c>
      <c r="F21" t="str">
        <f t="shared" si="1"/>
        <v>—</v>
      </c>
      <c r="G21" t="str">
        <f t="shared" si="1"/>
        <v>—</v>
      </c>
    </row>
    <row r="22" spans="1:7" outlineLevel="1" x14ac:dyDescent="0.2">
      <c r="B22" t="str">
        <f>"work in process"</f>
        <v>work in process</v>
      </c>
      <c r="C22" t="str">
        <f t="shared" si="1"/>
        <v>—</v>
      </c>
      <c r="D22" t="str">
        <f t="shared" si="1"/>
        <v>—</v>
      </c>
      <c r="E22" t="str">
        <f t="shared" si="1"/>
        <v>—</v>
      </c>
      <c r="F22" t="str">
        <f t="shared" si="1"/>
        <v>—</v>
      </c>
      <c r="G22" t="str">
        <f t="shared" si="1"/>
        <v>—</v>
      </c>
    </row>
    <row r="23" spans="1:7" outlineLevel="1" x14ac:dyDescent="0.2">
      <c r="B23" t="str">
        <f>"finished goods"</f>
        <v>finished goods</v>
      </c>
      <c r="C23" t="str">
        <f t="shared" si="1"/>
        <v>—</v>
      </c>
      <c r="D23" t="str">
        <f t="shared" si="1"/>
        <v>—</v>
      </c>
      <c r="E23" t="str">
        <f t="shared" si="1"/>
        <v>—</v>
      </c>
      <c r="F23" t="str">
        <f t="shared" si="1"/>
        <v>—</v>
      </c>
      <c r="G23" t="str">
        <f t="shared" si="1"/>
        <v>—</v>
      </c>
    </row>
    <row r="24" spans="1:7" outlineLevel="1" x14ac:dyDescent="0.2">
      <c r="B24" t="str">
        <f>"other inventories"</f>
        <v>other inventories</v>
      </c>
      <c r="C24" t="str">
        <f t="shared" si="1"/>
        <v>—</v>
      </c>
      <c r="D24" t="str">
        <f t="shared" si="1"/>
        <v>—</v>
      </c>
      <c r="E24" t="str">
        <f t="shared" si="1"/>
        <v>—</v>
      </c>
      <c r="F24" t="str">
        <f t="shared" si="1"/>
        <v>—</v>
      </c>
      <c r="G24" t="str">
        <f t="shared" si="1"/>
        <v>—</v>
      </c>
    </row>
    <row r="25" spans="1:7" outlineLevel="1" x14ac:dyDescent="0.2">
      <c r="B25" t="str">
        <f>"inventories adjustments allowances"</f>
        <v>inventories adjustments allowances</v>
      </c>
      <c r="C25" t="str">
        <f t="shared" si="1"/>
        <v>—</v>
      </c>
      <c r="D25" t="str">
        <f t="shared" si="1"/>
        <v>—</v>
      </c>
      <c r="E25" t="str">
        <f t="shared" si="1"/>
        <v>—</v>
      </c>
      <c r="F25" t="str">
        <f t="shared" si="1"/>
        <v>—</v>
      </c>
      <c r="G25" t="str">
        <f t="shared" si="1"/>
        <v>—</v>
      </c>
    </row>
    <row r="26" spans="1:7" outlineLevel="1" x14ac:dyDescent="0.2">
      <c r="B26" t="str">
        <f>"prepaid assets"</f>
        <v>prepaid assets</v>
      </c>
      <c r="C26" t="str">
        <f t="shared" si="1"/>
        <v>—</v>
      </c>
      <c r="D26" t="str">
        <f t="shared" si="1"/>
        <v>—</v>
      </c>
      <c r="E26" t="str">
        <f t="shared" si="1"/>
        <v>—</v>
      </c>
      <c r="F26" t="str">
        <f t="shared" si="1"/>
        <v>—</v>
      </c>
      <c r="G26" t="str">
        <f t="shared" si="1"/>
        <v>—</v>
      </c>
    </row>
    <row r="27" spans="1:7" outlineLevel="1" x14ac:dyDescent="0.2">
      <c r="B27" t="str">
        <f>"restricted cash"</f>
        <v>restricted cash</v>
      </c>
      <c r="C27" t="str">
        <f t="shared" si="1"/>
        <v>—</v>
      </c>
      <c r="D27" t="str">
        <f t="shared" si="1"/>
        <v>—</v>
      </c>
      <c r="E27" t="str">
        <f t="shared" si="1"/>
        <v>—</v>
      </c>
      <c r="F27" t="str">
        <f t="shared" si="1"/>
        <v>—</v>
      </c>
      <c r="G27" t="str">
        <f t="shared" si="1"/>
        <v>—</v>
      </c>
    </row>
    <row r="28" spans="1:7" outlineLevel="1" x14ac:dyDescent="0.2">
      <c r="B28" t="str">
        <f>"current deferred assets"</f>
        <v>current deferred assets</v>
      </c>
      <c r="C28" t="str">
        <f t="shared" si="1"/>
        <v>—</v>
      </c>
      <c r="D28" t="str">
        <f t="shared" si="1"/>
        <v>—</v>
      </c>
      <c r="E28" t="str">
        <f t="shared" si="1"/>
        <v>—</v>
      </c>
      <c r="F28" t="str">
        <f t="shared" si="1"/>
        <v>—</v>
      </c>
      <c r="G28" t="str">
        <f t="shared" si="1"/>
        <v>—</v>
      </c>
    </row>
    <row r="29" spans="1:7" outlineLevel="1" x14ac:dyDescent="0.2">
      <c r="B29" t="str">
        <f>"current deferred taxes assets"</f>
        <v>current deferred taxes assets</v>
      </c>
      <c r="C29" t="str">
        <f t="shared" si="1"/>
        <v>—</v>
      </c>
      <c r="D29" t="str">
        <f t="shared" si="1"/>
        <v>—</v>
      </c>
      <c r="E29" t="str">
        <f t="shared" si="1"/>
        <v>—</v>
      </c>
      <c r="F29" t="str">
        <f t="shared" si="1"/>
        <v>—</v>
      </c>
      <c r="G29" t="str">
        <f t="shared" si="1"/>
        <v>—</v>
      </c>
    </row>
    <row r="30" spans="1:7" outlineLevel="1" x14ac:dyDescent="0.2">
      <c r="B30" t="str">
        <f>"assets held for sale current"</f>
        <v>assets held for sale current</v>
      </c>
      <c r="C30" t="str">
        <f t="shared" si="1"/>
        <v>—</v>
      </c>
      <c r="D30" t="str">
        <f t="shared" si="1"/>
        <v>—</v>
      </c>
      <c r="E30" t="str">
        <f t="shared" si="1"/>
        <v>—</v>
      </c>
      <c r="F30" t="str">
        <f t="shared" si="1"/>
        <v>—</v>
      </c>
      <c r="G30" t="str">
        <f t="shared" si="1"/>
        <v>—</v>
      </c>
    </row>
    <row r="31" spans="1:7" outlineLevel="1" x14ac:dyDescent="0.2">
      <c r="B31" t="str">
        <f>"hedging assets current"</f>
        <v>hedging assets current</v>
      </c>
      <c r="C31" t="str">
        <f t="shared" si="1"/>
        <v>—</v>
      </c>
      <c r="D31" t="str">
        <f t="shared" si="1"/>
        <v>—</v>
      </c>
      <c r="E31" t="str">
        <f t="shared" si="1"/>
        <v>—</v>
      </c>
      <c r="F31" t="str">
        <f t="shared" si="1"/>
        <v>—</v>
      </c>
      <c r="G31" t="str">
        <f t="shared" si="1"/>
        <v>—</v>
      </c>
    </row>
    <row r="32" spans="1:7" outlineLevel="1" x14ac:dyDescent="0.2">
      <c r="B32" t="str">
        <f>"Other Current Assets"</f>
        <v>Other Current Assets</v>
      </c>
      <c r="C32" t="str">
        <f>"8283"</f>
        <v>8283</v>
      </c>
      <c r="D32" t="str">
        <f>"13936"</f>
        <v>13936</v>
      </c>
      <c r="E32" t="str">
        <f>"12087"</f>
        <v>12087</v>
      </c>
      <c r="F32" t="str">
        <f>"12352"</f>
        <v>12352</v>
      </c>
      <c r="G32" t="str">
        <f>"11264"</f>
        <v>11264</v>
      </c>
    </row>
    <row r="33" spans="1:7" outlineLevel="1" x14ac:dyDescent="0.2">
      <c r="B33" t="str">
        <f>"total non current assets"</f>
        <v>total non current assets</v>
      </c>
      <c r="C33" t="str">
        <f>"214817"</f>
        <v>214817</v>
      </c>
      <c r="D33" t="str">
        <f>"246674"</f>
        <v>246674</v>
      </c>
      <c r="E33" t="str">
        <f>"234386"</f>
        <v>234386</v>
      </c>
      <c r="F33" t="str">
        <f>"175697"</f>
        <v>175697</v>
      </c>
      <c r="G33" t="str">
        <f>"180175"</f>
        <v>180175</v>
      </c>
    </row>
    <row r="34" spans="1:7" outlineLevel="1" x14ac:dyDescent="0.2">
      <c r="B34" t="str">
        <f>"net ppe"</f>
        <v>net ppe</v>
      </c>
      <c r="C34" t="str">
        <f>"27010"</f>
        <v>27010</v>
      </c>
      <c r="D34" t="str">
        <f>"33783"</f>
        <v>33783</v>
      </c>
      <c r="E34" t="str">
        <f>"41304"</f>
        <v>41304</v>
      </c>
      <c r="F34" t="str">
        <f>"37378"</f>
        <v>37378</v>
      </c>
      <c r="G34" t="str">
        <f>"36766"</f>
        <v>36766</v>
      </c>
    </row>
    <row r="35" spans="1:7" outlineLevel="1" x14ac:dyDescent="0.2">
      <c r="B35" t="str">
        <f>"gross ppe"</f>
        <v>gross ppe</v>
      </c>
      <c r="C35" t="str">
        <f>"61245"</f>
        <v>61245</v>
      </c>
      <c r="D35" t="str">
        <f>"75076"</f>
        <v>75076</v>
      </c>
      <c r="E35" t="str">
        <f>"90403"</f>
        <v>90403</v>
      </c>
      <c r="F35" t="str">
        <f>"95957"</f>
        <v>95957</v>
      </c>
      <c r="G35" t="str">
        <f>"103526"</f>
        <v>103526</v>
      </c>
    </row>
    <row r="36" spans="1:7" outlineLevel="1" x14ac:dyDescent="0.2">
      <c r="B36" t="str">
        <f>"properties"</f>
        <v>properties</v>
      </c>
      <c r="C36" t="str">
        <f>"—"</f>
        <v>—</v>
      </c>
      <c r="D36" t="str">
        <f>"—"</f>
        <v>—</v>
      </c>
      <c r="E36" t="str">
        <f>"—"</f>
        <v>—</v>
      </c>
      <c r="F36" t="str">
        <f>"—"</f>
        <v>—</v>
      </c>
      <c r="G36" t="str">
        <f>"—"</f>
        <v>—</v>
      </c>
    </row>
    <row r="37" spans="1:7" outlineLevel="1" x14ac:dyDescent="0.2">
      <c r="B37" t="str">
        <f>"land and improvements"</f>
        <v>land and improvements</v>
      </c>
      <c r="C37" t="str">
        <f>"10185"</f>
        <v>10185</v>
      </c>
      <c r="D37" t="str">
        <f>"13587"</f>
        <v>13587</v>
      </c>
      <c r="E37" t="str">
        <f>"16216"</f>
        <v>16216</v>
      </c>
      <c r="F37" t="str">
        <f>"17085"</f>
        <v>17085</v>
      </c>
      <c r="G37" t="str">
        <f>"17952"</f>
        <v>17952</v>
      </c>
    </row>
    <row r="38" spans="1:7" outlineLevel="1" x14ac:dyDescent="0.2">
      <c r="B38" t="str">
        <f>"buildings and improvements"</f>
        <v>buildings and improvements</v>
      </c>
      <c r="C38" t="str">
        <f>"—"</f>
        <v>—</v>
      </c>
      <c r="D38" t="str">
        <f>"—"</f>
        <v>—</v>
      </c>
      <c r="E38" t="str">
        <f>"—"</f>
        <v>—</v>
      </c>
      <c r="F38" t="str">
        <f>"—"</f>
        <v>—</v>
      </c>
      <c r="G38" t="str">
        <f>"—"</f>
        <v>—</v>
      </c>
    </row>
    <row r="39" spans="1:7" x14ac:dyDescent="0.2">
      <c r="A39" s="1" t="s">
        <v>10</v>
      </c>
      <c r="B39" t="str">
        <f>"machinery furniture equipment"</f>
        <v>machinery furniture equipment</v>
      </c>
      <c r="C39" t="str">
        <f>"44543"</f>
        <v>44543</v>
      </c>
      <c r="D39" t="str">
        <f>"54210"</f>
        <v>54210</v>
      </c>
      <c r="E39" t="str">
        <f>"65982"</f>
        <v>65982</v>
      </c>
      <c r="F39" t="str">
        <f>"69797"</f>
        <v>69797</v>
      </c>
      <c r="G39" t="str">
        <f>"75291"</f>
        <v>75291</v>
      </c>
    </row>
    <row r="40" spans="1:7" outlineLevel="1" x14ac:dyDescent="0.2">
      <c r="B40" t="str">
        <f>"other properties"</f>
        <v>other properties</v>
      </c>
      <c r="C40" t="str">
        <f t="shared" ref="C40:G41" si="2">"—"</f>
        <v>—</v>
      </c>
      <c r="D40" t="str">
        <f t="shared" si="2"/>
        <v>—</v>
      </c>
      <c r="E40" t="str">
        <f t="shared" si="2"/>
        <v>—</v>
      </c>
      <c r="F40" t="str">
        <f t="shared" si="2"/>
        <v>—</v>
      </c>
      <c r="G40" t="str">
        <f t="shared" si="2"/>
        <v>—</v>
      </c>
    </row>
    <row r="41" spans="1:7" outlineLevel="1" x14ac:dyDescent="0.2">
      <c r="B41" t="str">
        <f>"construction in progress"</f>
        <v>construction in progress</v>
      </c>
      <c r="C41" t="str">
        <f t="shared" si="2"/>
        <v>—</v>
      </c>
      <c r="D41" t="str">
        <f t="shared" si="2"/>
        <v>—</v>
      </c>
      <c r="E41" t="str">
        <f t="shared" si="2"/>
        <v>—</v>
      </c>
      <c r="F41" t="str">
        <f t="shared" si="2"/>
        <v>—</v>
      </c>
      <c r="G41" t="str">
        <f t="shared" si="2"/>
        <v>—</v>
      </c>
    </row>
    <row r="42" spans="1:7" outlineLevel="1" x14ac:dyDescent="0.2">
      <c r="B42" t="str">
        <f>"leases"</f>
        <v>leases</v>
      </c>
      <c r="C42" t="str">
        <f>"6517"</f>
        <v>6517</v>
      </c>
      <c r="D42" t="str">
        <f>"7279"</f>
        <v>7279</v>
      </c>
      <c r="E42" t="str">
        <f>"8205"</f>
        <v>8205</v>
      </c>
      <c r="F42" t="str">
        <f>"9075"</f>
        <v>9075</v>
      </c>
      <c r="G42" t="str">
        <f>"10283"</f>
        <v>10283</v>
      </c>
    </row>
    <row r="43" spans="1:7" x14ac:dyDescent="0.2">
      <c r="A43" t="s">
        <v>12</v>
      </c>
      <c r="B43" t="str">
        <f>"Accumulated Depreciation"</f>
        <v>Accumulated Depreciation</v>
      </c>
      <c r="C43" t="str">
        <f>"-34235"</f>
        <v>-34235</v>
      </c>
      <c r="D43" t="str">
        <f>"-41293"</f>
        <v>-41293</v>
      </c>
      <c r="E43" t="str">
        <f>"-49099"</f>
        <v>-49099</v>
      </c>
      <c r="F43" t="str">
        <f>"-58579"</f>
        <v>-58579</v>
      </c>
      <c r="G43" t="str">
        <f>"-66760"</f>
        <v>-66760</v>
      </c>
    </row>
    <row r="44" spans="1:7" x14ac:dyDescent="0.2">
      <c r="A44" t="s">
        <v>17</v>
      </c>
      <c r="B44" t="str">
        <f>"goodwill and other intangible assets"</f>
        <v>goodwill and other intangible assets</v>
      </c>
      <c r="C44" t="str">
        <f>"8620"</f>
        <v>8620</v>
      </c>
      <c r="D44" t="str">
        <f>"8015"</f>
        <v>8015</v>
      </c>
      <c r="E44" t="str">
        <f t="shared" ref="E44:G47" si="3">"—"</f>
        <v>—</v>
      </c>
      <c r="F44" t="str">
        <f t="shared" si="3"/>
        <v>—</v>
      </c>
      <c r="G44" t="str">
        <f t="shared" si="3"/>
        <v>—</v>
      </c>
    </row>
    <row r="45" spans="1:7" outlineLevel="1" x14ac:dyDescent="0.2">
      <c r="B45" t="str">
        <f>"goodwill"</f>
        <v>goodwill</v>
      </c>
      <c r="C45" t="str">
        <f>"5414"</f>
        <v>5414</v>
      </c>
      <c r="D45" t="str">
        <f>"5717"</f>
        <v>5717</v>
      </c>
      <c r="E45" t="str">
        <f t="shared" si="3"/>
        <v>—</v>
      </c>
      <c r="F45" t="str">
        <f t="shared" si="3"/>
        <v>—</v>
      </c>
      <c r="G45" t="str">
        <f t="shared" si="3"/>
        <v>—</v>
      </c>
    </row>
    <row r="46" spans="1:7" x14ac:dyDescent="0.2">
      <c r="A46" s="1" t="s">
        <v>19</v>
      </c>
      <c r="B46" t="str">
        <f>"other intangible assets"</f>
        <v>other intangible assets</v>
      </c>
      <c r="C46" t="str">
        <f>"3206"</f>
        <v>3206</v>
      </c>
      <c r="D46" t="str">
        <f>"2298"</f>
        <v>2298</v>
      </c>
      <c r="E46" t="str">
        <f t="shared" si="3"/>
        <v>—</v>
      </c>
      <c r="F46" t="str">
        <f t="shared" si="3"/>
        <v>—</v>
      </c>
      <c r="G46" t="str">
        <f t="shared" si="3"/>
        <v>—</v>
      </c>
    </row>
    <row r="47" spans="1:7" outlineLevel="1" x14ac:dyDescent="0.2">
      <c r="B47" t="str">
        <f>"investment properties"</f>
        <v>investment properties</v>
      </c>
      <c r="C47" t="str">
        <f>"—"</f>
        <v>—</v>
      </c>
      <c r="D47" t="str">
        <f>"—"</f>
        <v>—</v>
      </c>
      <c r="E47" t="str">
        <f t="shared" si="3"/>
        <v>—</v>
      </c>
      <c r="F47" t="str">
        <f t="shared" si="3"/>
        <v>—</v>
      </c>
      <c r="G47" t="str">
        <f t="shared" si="3"/>
        <v>—</v>
      </c>
    </row>
    <row r="48" spans="1:7" outlineLevel="1" x14ac:dyDescent="0.2">
      <c r="B48" t="str">
        <f>"investments and advances"</f>
        <v>investments and advances</v>
      </c>
      <c r="C48" t="str">
        <f>"170430"</f>
        <v>170430</v>
      </c>
      <c r="D48" t="str">
        <f>"194714"</f>
        <v>194714</v>
      </c>
      <c r="E48" t="str">
        <f>"170799"</f>
        <v>170799</v>
      </c>
      <c r="F48" t="str">
        <f>"105341"</f>
        <v>105341</v>
      </c>
      <c r="G48" t="str">
        <f>"100887"</f>
        <v>100887</v>
      </c>
    </row>
    <row r="49" spans="2:7" outlineLevel="1" x14ac:dyDescent="0.2">
      <c r="B49" t="str">
        <f>"long term equity investment"</f>
        <v>long term equity investment</v>
      </c>
      <c r="C49" t="str">
        <f t="shared" ref="C49:G58" si="4">"—"</f>
        <v>—</v>
      </c>
      <c r="D49" t="str">
        <f t="shared" si="4"/>
        <v>—</v>
      </c>
      <c r="E49" t="str">
        <f t="shared" si="4"/>
        <v>—</v>
      </c>
      <c r="F49" t="str">
        <f t="shared" si="4"/>
        <v>—</v>
      </c>
      <c r="G49" t="str">
        <f t="shared" si="4"/>
        <v>—</v>
      </c>
    </row>
    <row r="50" spans="2:7" outlineLevel="1" x14ac:dyDescent="0.2">
      <c r="B50" t="str">
        <f>"investmentsin subsidiariesat cost"</f>
        <v>investmentsin subsidiariesat cost</v>
      </c>
      <c r="C50" t="str">
        <f t="shared" si="4"/>
        <v>—</v>
      </c>
      <c r="D50" t="str">
        <f t="shared" si="4"/>
        <v>—</v>
      </c>
      <c r="E50" t="str">
        <f t="shared" si="4"/>
        <v>—</v>
      </c>
      <c r="F50" t="str">
        <f t="shared" si="4"/>
        <v>—</v>
      </c>
      <c r="G50" t="str">
        <f t="shared" si="4"/>
        <v>—</v>
      </c>
    </row>
    <row r="51" spans="2:7" outlineLevel="1" x14ac:dyDescent="0.2">
      <c r="B51" t="str">
        <f>"investmentsin associatesat cost"</f>
        <v>investmentsin associatesat cost</v>
      </c>
      <c r="C51" t="str">
        <f t="shared" si="4"/>
        <v>—</v>
      </c>
      <c r="D51" t="str">
        <f t="shared" si="4"/>
        <v>—</v>
      </c>
      <c r="E51" t="str">
        <f t="shared" si="4"/>
        <v>—</v>
      </c>
      <c r="F51" t="str">
        <f t="shared" si="4"/>
        <v>—</v>
      </c>
      <c r="G51" t="str">
        <f t="shared" si="4"/>
        <v>—</v>
      </c>
    </row>
    <row r="52" spans="2:7" outlineLevel="1" x14ac:dyDescent="0.2">
      <c r="B52" t="str">
        <f>"investments in other ventures under equity method"</f>
        <v>investments in other ventures under equity method</v>
      </c>
      <c r="C52" t="str">
        <f t="shared" si="4"/>
        <v>—</v>
      </c>
      <c r="D52" t="str">
        <f t="shared" si="4"/>
        <v>—</v>
      </c>
      <c r="E52" t="str">
        <f t="shared" si="4"/>
        <v>—</v>
      </c>
      <c r="F52" t="str">
        <f t="shared" si="4"/>
        <v>—</v>
      </c>
      <c r="G52" t="str">
        <f t="shared" si="4"/>
        <v>—</v>
      </c>
    </row>
    <row r="53" spans="2:7" outlineLevel="1" x14ac:dyDescent="0.2">
      <c r="B53" t="str">
        <f>"investmentsin joint venturesat cost"</f>
        <v>investmentsin joint venturesat cost</v>
      </c>
      <c r="C53" t="str">
        <f t="shared" si="4"/>
        <v>—</v>
      </c>
      <c r="D53" t="str">
        <f t="shared" si="4"/>
        <v>—</v>
      </c>
      <c r="E53" t="str">
        <f t="shared" si="4"/>
        <v>—</v>
      </c>
      <c r="F53" t="str">
        <f t="shared" si="4"/>
        <v>—</v>
      </c>
      <c r="G53" t="str">
        <f t="shared" si="4"/>
        <v>—</v>
      </c>
    </row>
    <row r="54" spans="2:7" outlineLevel="1" x14ac:dyDescent="0.2">
      <c r="B54" t="str">
        <f>"investmentin financial assets"</f>
        <v>investmentin financial assets</v>
      </c>
      <c r="C54" t="str">
        <f t="shared" si="4"/>
        <v>—</v>
      </c>
      <c r="D54" t="str">
        <f t="shared" si="4"/>
        <v>—</v>
      </c>
      <c r="E54" t="str">
        <f t="shared" si="4"/>
        <v>—</v>
      </c>
      <c r="F54" t="str">
        <f t="shared" si="4"/>
        <v>—</v>
      </c>
      <c r="G54" t="str">
        <f t="shared" si="4"/>
        <v>—</v>
      </c>
    </row>
    <row r="55" spans="2:7" outlineLevel="1" x14ac:dyDescent="0.2">
      <c r="B55" t="str">
        <f>"trading securities"</f>
        <v>trading securities</v>
      </c>
      <c r="C55" t="str">
        <f t="shared" si="4"/>
        <v>—</v>
      </c>
      <c r="D55" t="str">
        <f t="shared" si="4"/>
        <v>—</v>
      </c>
      <c r="E55" t="str">
        <f t="shared" si="4"/>
        <v>—</v>
      </c>
      <c r="F55" t="str">
        <f t="shared" si="4"/>
        <v>—</v>
      </c>
      <c r="G55" t="str">
        <f t="shared" si="4"/>
        <v>—</v>
      </c>
    </row>
    <row r="56" spans="2:7" outlineLevel="1" x14ac:dyDescent="0.2">
      <c r="B56" t="str">
        <f>"financial assets designatedas fair value through profitor loss total"</f>
        <v>financial assets designatedas fair value through profitor loss total</v>
      </c>
      <c r="C56" t="str">
        <f t="shared" si="4"/>
        <v>—</v>
      </c>
      <c r="D56" t="str">
        <f t="shared" si="4"/>
        <v>—</v>
      </c>
      <c r="E56" t="str">
        <f t="shared" si="4"/>
        <v>—</v>
      </c>
      <c r="F56" t="str">
        <f t="shared" si="4"/>
        <v>—</v>
      </c>
      <c r="G56" t="str">
        <f t="shared" si="4"/>
        <v>—</v>
      </c>
    </row>
    <row r="57" spans="2:7" outlineLevel="1" x14ac:dyDescent="0.2">
      <c r="B57" t="str">
        <f>"available for sale securities"</f>
        <v>available for sale securities</v>
      </c>
      <c r="C57" t="str">
        <f t="shared" si="4"/>
        <v>—</v>
      </c>
      <c r="D57" t="str">
        <f t="shared" si="4"/>
        <v>—</v>
      </c>
      <c r="E57" t="str">
        <f t="shared" si="4"/>
        <v>—</v>
      </c>
      <c r="F57" t="str">
        <f t="shared" si="4"/>
        <v>—</v>
      </c>
      <c r="G57" t="str">
        <f t="shared" si="4"/>
        <v>—</v>
      </c>
    </row>
    <row r="58" spans="2:7" outlineLevel="1" x14ac:dyDescent="0.2">
      <c r="B58" t="str">
        <f>"held to maturity securities"</f>
        <v>held to maturity securities</v>
      </c>
      <c r="C58" t="str">
        <f t="shared" si="4"/>
        <v>—</v>
      </c>
      <c r="D58" t="str">
        <f t="shared" si="4"/>
        <v>—</v>
      </c>
      <c r="E58" t="str">
        <f t="shared" si="4"/>
        <v>—</v>
      </c>
      <c r="F58" t="str">
        <f t="shared" si="4"/>
        <v>—</v>
      </c>
      <c r="G58" t="str">
        <f t="shared" si="4"/>
        <v>—</v>
      </c>
    </row>
    <row r="59" spans="2:7" outlineLevel="1" x14ac:dyDescent="0.2">
      <c r="B59" t="str">
        <f>"other investments"</f>
        <v>other investments</v>
      </c>
      <c r="C59" t="str">
        <f t="shared" ref="C59:G67" si="5">"—"</f>
        <v>—</v>
      </c>
      <c r="D59" t="str">
        <f t="shared" si="5"/>
        <v>—</v>
      </c>
      <c r="E59" t="str">
        <f t="shared" si="5"/>
        <v>—</v>
      </c>
      <c r="F59" t="str">
        <f t="shared" si="5"/>
        <v>—</v>
      </c>
      <c r="G59" t="str">
        <f t="shared" si="5"/>
        <v>—</v>
      </c>
    </row>
    <row r="60" spans="2:7" outlineLevel="1" x14ac:dyDescent="0.2">
      <c r="B60" t="str">
        <f>"financial assets"</f>
        <v>financial assets</v>
      </c>
      <c r="C60" t="str">
        <f t="shared" si="5"/>
        <v>—</v>
      </c>
      <c r="D60" t="str">
        <f t="shared" si="5"/>
        <v>—</v>
      </c>
      <c r="E60" t="str">
        <f t="shared" si="5"/>
        <v>—</v>
      </c>
      <c r="F60" t="str">
        <f t="shared" si="5"/>
        <v>—</v>
      </c>
      <c r="G60" t="str">
        <f t="shared" si="5"/>
        <v>—</v>
      </c>
    </row>
    <row r="61" spans="2:7" outlineLevel="1" x14ac:dyDescent="0.2">
      <c r="B61" t="str">
        <f>"non current accounts receivable"</f>
        <v>non current accounts receivable</v>
      </c>
      <c r="C61" t="str">
        <f t="shared" si="5"/>
        <v>—</v>
      </c>
      <c r="D61" t="str">
        <f t="shared" si="5"/>
        <v>—</v>
      </c>
      <c r="E61" t="str">
        <f t="shared" si="5"/>
        <v>—</v>
      </c>
      <c r="F61" t="str">
        <f t="shared" si="5"/>
        <v>—</v>
      </c>
      <c r="G61" t="str">
        <f t="shared" si="5"/>
        <v>—</v>
      </c>
    </row>
    <row r="62" spans="2:7" outlineLevel="1" x14ac:dyDescent="0.2">
      <c r="B62" t="str">
        <f>"non current note receivables"</f>
        <v>non current note receivables</v>
      </c>
      <c r="C62" t="str">
        <f t="shared" si="5"/>
        <v>—</v>
      </c>
      <c r="D62" t="str">
        <f t="shared" si="5"/>
        <v>—</v>
      </c>
      <c r="E62" t="str">
        <f t="shared" si="5"/>
        <v>—</v>
      </c>
      <c r="F62" t="str">
        <f t="shared" si="5"/>
        <v>—</v>
      </c>
      <c r="G62" t="str">
        <f t="shared" si="5"/>
        <v>—</v>
      </c>
    </row>
    <row r="63" spans="2:7" outlineLevel="1" x14ac:dyDescent="0.2">
      <c r="B63" t="str">
        <f>"duefrom related parties non current"</f>
        <v>duefrom related parties non current</v>
      </c>
      <c r="C63" t="str">
        <f t="shared" si="5"/>
        <v>—</v>
      </c>
      <c r="D63" t="str">
        <f t="shared" si="5"/>
        <v>—</v>
      </c>
      <c r="E63" t="str">
        <f t="shared" si="5"/>
        <v>—</v>
      </c>
      <c r="F63" t="str">
        <f t="shared" si="5"/>
        <v>—</v>
      </c>
      <c r="G63" t="str">
        <f t="shared" si="5"/>
        <v>—</v>
      </c>
    </row>
    <row r="64" spans="2:7" outlineLevel="1" x14ac:dyDescent="0.2">
      <c r="B64" t="str">
        <f>"non current deferred assets"</f>
        <v>non current deferred assets</v>
      </c>
      <c r="C64" t="str">
        <f t="shared" si="5"/>
        <v>—</v>
      </c>
      <c r="D64" t="str">
        <f t="shared" si="5"/>
        <v>—</v>
      </c>
      <c r="E64" t="str">
        <f t="shared" si="5"/>
        <v>—</v>
      </c>
      <c r="F64" t="str">
        <f t="shared" si="5"/>
        <v>—</v>
      </c>
      <c r="G64" t="str">
        <f t="shared" si="5"/>
        <v>—</v>
      </c>
    </row>
    <row r="65" spans="1:8" outlineLevel="1" x14ac:dyDescent="0.2">
      <c r="B65" t="str">
        <f>"non current deferred taxes assets"</f>
        <v>non current deferred taxes assets</v>
      </c>
      <c r="C65" t="str">
        <f t="shared" si="5"/>
        <v>—</v>
      </c>
      <c r="D65" t="str">
        <f t="shared" si="5"/>
        <v>—</v>
      </c>
      <c r="E65" t="str">
        <f t="shared" si="5"/>
        <v>—</v>
      </c>
      <c r="F65" t="str">
        <f t="shared" si="5"/>
        <v>—</v>
      </c>
      <c r="G65" t="str">
        <f t="shared" si="5"/>
        <v>—</v>
      </c>
    </row>
    <row r="66" spans="1:8" x14ac:dyDescent="0.2">
      <c r="A66" s="1" t="s">
        <v>6</v>
      </c>
      <c r="B66" t="str">
        <f>"non current prepaid assets"</f>
        <v>non current prepaid assets</v>
      </c>
      <c r="C66" t="str">
        <f t="shared" si="5"/>
        <v>—</v>
      </c>
      <c r="D66" t="str">
        <f t="shared" si="5"/>
        <v>—</v>
      </c>
      <c r="E66" t="str">
        <f t="shared" si="5"/>
        <v>—</v>
      </c>
      <c r="F66" t="str">
        <f t="shared" si="5"/>
        <v>—</v>
      </c>
      <c r="G66" t="str">
        <f t="shared" si="5"/>
        <v>—</v>
      </c>
    </row>
    <row r="67" spans="1:8" outlineLevel="1" x14ac:dyDescent="0.2">
      <c r="B67" t="str">
        <f>"defined pension benefit"</f>
        <v>defined pension benefit</v>
      </c>
      <c r="C67" t="str">
        <f t="shared" si="5"/>
        <v>—</v>
      </c>
      <c r="D67" t="str">
        <f t="shared" si="5"/>
        <v>—</v>
      </c>
      <c r="E67" t="str">
        <f t="shared" si="5"/>
        <v>—</v>
      </c>
      <c r="F67" t="str">
        <f t="shared" si="5"/>
        <v>—</v>
      </c>
      <c r="G67" t="str">
        <f t="shared" si="5"/>
        <v>—</v>
      </c>
    </row>
    <row r="68" spans="1:8" outlineLevel="1" x14ac:dyDescent="0.2">
      <c r="B68" t="str">
        <f>"other non current assets"</f>
        <v>other non current assets</v>
      </c>
      <c r="C68" t="str">
        <f>"8757"</f>
        <v>8757</v>
      </c>
      <c r="D68" t="str">
        <f>"18177"</f>
        <v>18177</v>
      </c>
      <c r="E68" t="str">
        <f>"22283"</f>
        <v>22283</v>
      </c>
      <c r="F68" t="str">
        <f>"32978"</f>
        <v>32978</v>
      </c>
      <c r="G68" t="str">
        <f>"42522"</f>
        <v>42522</v>
      </c>
    </row>
    <row r="69" spans="1:8" x14ac:dyDescent="0.2">
      <c r="A69" s="1" t="s">
        <v>22</v>
      </c>
      <c r="B69" t="str">
        <f>"Total Liabilities Net Minority Interest"</f>
        <v>Total Liabilities Net Minority Interest</v>
      </c>
      <c r="C69" t="str">
        <f>"193437"</f>
        <v>193437</v>
      </c>
      <c r="D69" t="str">
        <f>"241272"</f>
        <v>241272</v>
      </c>
      <c r="E69" t="str">
        <f>"258578"</f>
        <v>258578</v>
      </c>
      <c r="F69" t="str">
        <f>"248028"</f>
        <v>248028</v>
      </c>
      <c r="G69" t="str">
        <f>"258549"</f>
        <v>258549</v>
      </c>
    </row>
    <row r="70" spans="1:8" x14ac:dyDescent="0.2">
      <c r="A70" t="s">
        <v>9</v>
      </c>
      <c r="B70" t="str">
        <f>"current liabilities"</f>
        <v>current liabilities</v>
      </c>
      <c r="C70" t="str">
        <f>"79006"</f>
        <v>79006</v>
      </c>
      <c r="D70" t="str">
        <f>"100814"</f>
        <v>100814</v>
      </c>
      <c r="E70" t="str">
        <f>"115929"</f>
        <v>115929</v>
      </c>
      <c r="F70" t="str">
        <f>"105718"</f>
        <v>105718</v>
      </c>
      <c r="G70" t="str">
        <f>"105392"</f>
        <v>105392</v>
      </c>
    </row>
    <row r="71" spans="1:8" outlineLevel="1" x14ac:dyDescent="0.2">
      <c r="B71" t="str">
        <f>"payables and accrued expenses"</f>
        <v>payables and accrued expenses</v>
      </c>
      <c r="C71" t="str">
        <f>"59321"</f>
        <v>59321</v>
      </c>
      <c r="D71" t="str">
        <f>"44242"</f>
        <v>44242</v>
      </c>
      <c r="E71" t="str">
        <f>"55888"</f>
        <v>55888</v>
      </c>
      <c r="F71" t="str">
        <f>"46236"</f>
        <v>46236</v>
      </c>
      <c r="G71" t="str">
        <f>"42296"</f>
        <v>42296</v>
      </c>
    </row>
    <row r="72" spans="1:8" outlineLevel="1" x14ac:dyDescent="0.2">
      <c r="B72" t="str">
        <f>"payables"</f>
        <v>payables</v>
      </c>
      <c r="C72" t="str">
        <f>"37294"</f>
        <v>37294</v>
      </c>
      <c r="D72" t="str">
        <f>"44242"</f>
        <v>44242</v>
      </c>
      <c r="E72" t="str">
        <f>"55888"</f>
        <v>55888</v>
      </c>
      <c r="F72" t="str">
        <f>"46236"</f>
        <v>46236</v>
      </c>
      <c r="G72" t="str">
        <f>"42296"</f>
        <v>42296</v>
      </c>
      <c r="H72" s="2" t="s">
        <v>23</v>
      </c>
    </row>
    <row r="73" spans="1:8" x14ac:dyDescent="0.2">
      <c r="A73" t="s">
        <v>1</v>
      </c>
      <c r="B73" t="str">
        <f>"Accounts Payable"</f>
        <v>Accounts Payable</v>
      </c>
      <c r="C73" t="str">
        <f>"37294"</f>
        <v>37294</v>
      </c>
      <c r="D73" t="str">
        <f>"44242"</f>
        <v>44242</v>
      </c>
      <c r="E73" t="str">
        <f>"55888"</f>
        <v>55888</v>
      </c>
      <c r="F73" t="str">
        <f>"46236"</f>
        <v>46236</v>
      </c>
      <c r="G73" t="str">
        <f>"42296"</f>
        <v>42296</v>
      </c>
    </row>
    <row r="74" spans="1:8" outlineLevel="1" x14ac:dyDescent="0.2">
      <c r="B74" t="str">
        <f>"total tax payable"</f>
        <v>total tax payable</v>
      </c>
      <c r="C74" t="str">
        <f t="shared" ref="C74:G78" si="6">"—"</f>
        <v>—</v>
      </c>
      <c r="D74" t="str">
        <f t="shared" si="6"/>
        <v>—</v>
      </c>
      <c r="E74" t="str">
        <f t="shared" si="6"/>
        <v>—</v>
      </c>
      <c r="F74" t="str">
        <f t="shared" si="6"/>
        <v>—</v>
      </c>
      <c r="G74" t="str">
        <f t="shared" si="6"/>
        <v>—</v>
      </c>
    </row>
    <row r="75" spans="1:8" outlineLevel="1" x14ac:dyDescent="0.2">
      <c r="B75" t="str">
        <f>"income tax payable"</f>
        <v>income tax payable</v>
      </c>
      <c r="C75" t="str">
        <f t="shared" si="6"/>
        <v>—</v>
      </c>
      <c r="D75" t="str">
        <f t="shared" si="6"/>
        <v>—</v>
      </c>
      <c r="E75" t="str">
        <f t="shared" si="6"/>
        <v>—</v>
      </c>
      <c r="F75" t="str">
        <f t="shared" si="6"/>
        <v>—</v>
      </c>
      <c r="G75" t="str">
        <f t="shared" si="6"/>
        <v>—</v>
      </c>
    </row>
    <row r="76" spans="1:8" outlineLevel="1" x14ac:dyDescent="0.2">
      <c r="B76" t="str">
        <f>"dividends payable"</f>
        <v>dividends payable</v>
      </c>
      <c r="C76" t="str">
        <f t="shared" si="6"/>
        <v>—</v>
      </c>
      <c r="D76" t="str">
        <f t="shared" si="6"/>
        <v>—</v>
      </c>
      <c r="E76" t="str">
        <f t="shared" si="6"/>
        <v>—</v>
      </c>
      <c r="F76" t="str">
        <f t="shared" si="6"/>
        <v>—</v>
      </c>
      <c r="G76" t="str">
        <f t="shared" si="6"/>
        <v>—</v>
      </c>
    </row>
    <row r="77" spans="1:8" outlineLevel="1" x14ac:dyDescent="0.2">
      <c r="B77" t="str">
        <f>"dueto related parties current"</f>
        <v>dueto related parties current</v>
      </c>
      <c r="C77" t="str">
        <f t="shared" si="6"/>
        <v>—</v>
      </c>
      <c r="D77" t="str">
        <f t="shared" si="6"/>
        <v>—</v>
      </c>
      <c r="E77" t="str">
        <f t="shared" si="6"/>
        <v>—</v>
      </c>
      <c r="F77" t="str">
        <f t="shared" si="6"/>
        <v>—</v>
      </c>
      <c r="G77" t="str">
        <f t="shared" si="6"/>
        <v>—</v>
      </c>
    </row>
    <row r="78" spans="1:8" x14ac:dyDescent="0.2">
      <c r="A78" t="s">
        <v>7</v>
      </c>
      <c r="B78" t="str">
        <f>"other payable"</f>
        <v>other payable</v>
      </c>
      <c r="C78" t="str">
        <f t="shared" si="6"/>
        <v>—</v>
      </c>
      <c r="D78" t="str">
        <f t="shared" si="6"/>
        <v>—</v>
      </c>
      <c r="E78" t="str">
        <f t="shared" si="6"/>
        <v>—</v>
      </c>
      <c r="F78" t="str">
        <f t="shared" si="6"/>
        <v>—</v>
      </c>
      <c r="G78" t="str">
        <f t="shared" si="6"/>
        <v>—</v>
      </c>
    </row>
    <row r="79" spans="1:8" x14ac:dyDescent="0.2">
      <c r="A79" t="s">
        <v>3</v>
      </c>
      <c r="B79" t="str">
        <f>"current accrued expenses"</f>
        <v>current accrued expenses</v>
      </c>
      <c r="C79" t="str">
        <f>"22027"</f>
        <v>22027</v>
      </c>
      <c r="D79" t="str">
        <f>"25744"</f>
        <v>25744</v>
      </c>
      <c r="E79" t="str">
        <f t="shared" ref="E79:G82" si="7">"—"</f>
        <v>—</v>
      </c>
      <c r="F79" t="str">
        <f t="shared" si="7"/>
        <v>—</v>
      </c>
      <c r="G79" t="str">
        <f t="shared" si="7"/>
        <v>—</v>
      </c>
    </row>
    <row r="80" spans="1:8" outlineLevel="1" x14ac:dyDescent="0.2">
      <c r="B80" t="str">
        <f>"interest payable"</f>
        <v>interest payable</v>
      </c>
      <c r="C80" t="str">
        <f t="shared" ref="C80:D82" si="8">"—"</f>
        <v>—</v>
      </c>
      <c r="D80" t="str">
        <f t="shared" si="8"/>
        <v>—</v>
      </c>
      <c r="E80" t="str">
        <f t="shared" si="7"/>
        <v>—</v>
      </c>
      <c r="F80" t="str">
        <f t="shared" si="7"/>
        <v>—</v>
      </c>
      <c r="G80" t="str">
        <f t="shared" si="7"/>
        <v>—</v>
      </c>
    </row>
    <row r="81" spans="1:8" outlineLevel="1" x14ac:dyDescent="0.2">
      <c r="B81" t="str">
        <f>"current provisions"</f>
        <v>current provisions</v>
      </c>
      <c r="C81" t="str">
        <f t="shared" si="8"/>
        <v>—</v>
      </c>
      <c r="D81" t="str">
        <f t="shared" si="8"/>
        <v>—</v>
      </c>
      <c r="E81" t="str">
        <f t="shared" si="7"/>
        <v>—</v>
      </c>
      <c r="F81" t="str">
        <f t="shared" si="7"/>
        <v>—</v>
      </c>
      <c r="G81" t="str">
        <f t="shared" si="7"/>
        <v>—</v>
      </c>
    </row>
    <row r="82" spans="1:8" outlineLevel="1" x14ac:dyDescent="0.2">
      <c r="B82" t="str">
        <f>"pensionand other post retirement benefit plans current"</f>
        <v>pensionand other post retirement benefit plans current</v>
      </c>
      <c r="C82" t="str">
        <f t="shared" si="8"/>
        <v>—</v>
      </c>
      <c r="D82" t="str">
        <f t="shared" si="8"/>
        <v>—</v>
      </c>
      <c r="E82" t="str">
        <f t="shared" si="7"/>
        <v>—</v>
      </c>
      <c r="F82" t="str">
        <f t="shared" si="7"/>
        <v>—</v>
      </c>
      <c r="G82" t="str">
        <f t="shared" si="7"/>
        <v>—</v>
      </c>
    </row>
    <row r="83" spans="1:8" x14ac:dyDescent="0.2">
      <c r="A83" t="s">
        <v>11</v>
      </c>
      <c r="B83" t="str">
        <f>"current debt and capital lease obligation"</f>
        <v>current debt and capital lease obligation</v>
      </c>
      <c r="C83" t="str">
        <f>"11605"</f>
        <v>11605</v>
      </c>
      <c r="D83" t="str">
        <f>"18473"</f>
        <v>18473</v>
      </c>
      <c r="E83" t="str">
        <f>"20748"</f>
        <v>20748</v>
      </c>
      <c r="F83" t="str">
        <f>"16240"</f>
        <v>16240</v>
      </c>
      <c r="G83" t="str">
        <f>"13769"</f>
        <v>13769</v>
      </c>
      <c r="H83" s="2" t="s">
        <v>24</v>
      </c>
    </row>
    <row r="84" spans="1:8" outlineLevel="1" x14ac:dyDescent="0.2">
      <c r="B84" t="str">
        <f>"current debt"</f>
        <v>current debt</v>
      </c>
      <c r="C84" t="str">
        <f>"11605"</f>
        <v>11605</v>
      </c>
      <c r="D84" t="str">
        <f>"18473"</f>
        <v>18473</v>
      </c>
      <c r="E84" t="str">
        <f>"20748"</f>
        <v>20748</v>
      </c>
      <c r="F84" t="str">
        <f>"16240"</f>
        <v>16240</v>
      </c>
      <c r="G84" t="str">
        <f>"13769"</f>
        <v>13769</v>
      </c>
    </row>
    <row r="85" spans="1:8" x14ac:dyDescent="0.2">
      <c r="A85" t="s">
        <v>5</v>
      </c>
      <c r="B85" t="str">
        <f>"current notes payable"</f>
        <v>current notes payable</v>
      </c>
      <c r="C85" t="str">
        <f>"—"</f>
        <v>—</v>
      </c>
      <c r="D85" t="str">
        <f>"—"</f>
        <v>—</v>
      </c>
      <c r="E85" t="str">
        <f>"—"</f>
        <v>—</v>
      </c>
      <c r="F85" t="str">
        <f>"—"</f>
        <v>—</v>
      </c>
      <c r="G85" t="str">
        <f>"—"</f>
        <v>—</v>
      </c>
    </row>
    <row r="86" spans="1:8" outlineLevel="1" x14ac:dyDescent="0.2">
      <c r="B86" t="str">
        <f>"commercial paper"</f>
        <v>commercial paper</v>
      </c>
      <c r="C86" t="str">
        <f>"8105"</f>
        <v>8105</v>
      </c>
      <c r="D86" t="str">
        <f>"11977"</f>
        <v>11977</v>
      </c>
      <c r="E86" t="str">
        <f>"11964"</f>
        <v>11964</v>
      </c>
      <c r="F86" t="str">
        <f>"5980"</f>
        <v>5980</v>
      </c>
      <c r="G86" t="str">
        <f>"4996"</f>
        <v>4996</v>
      </c>
    </row>
    <row r="87" spans="1:8" outlineLevel="1" x14ac:dyDescent="0.2">
      <c r="B87" t="str">
        <f>"line of credit"</f>
        <v>line of credit</v>
      </c>
      <c r="C87" t="str">
        <f>"—"</f>
        <v>—</v>
      </c>
      <c r="D87" t="str">
        <f>"—"</f>
        <v>—</v>
      </c>
      <c r="E87" t="str">
        <f>"—"</f>
        <v>—</v>
      </c>
      <c r="F87" t="str">
        <f>"—"</f>
        <v>—</v>
      </c>
      <c r="G87" t="str">
        <f>"—"</f>
        <v>—</v>
      </c>
    </row>
    <row r="88" spans="1:8" outlineLevel="1" x14ac:dyDescent="0.2">
      <c r="B88" t="str">
        <f>"other current borrowings"</f>
        <v>other current borrowings</v>
      </c>
      <c r="C88" t="str">
        <f>"3500"</f>
        <v>3500</v>
      </c>
      <c r="D88" t="str">
        <f>"6496"</f>
        <v>6496</v>
      </c>
      <c r="E88" t="str">
        <f>"8784"</f>
        <v>8784</v>
      </c>
      <c r="F88" t="str">
        <f>"10260"</f>
        <v>10260</v>
      </c>
      <c r="G88" t="str">
        <f>"8773"</f>
        <v>8773</v>
      </c>
    </row>
    <row r="89" spans="1:8" outlineLevel="1" x14ac:dyDescent="0.2">
      <c r="B89" t="str">
        <f>"current capital lease obligation"</f>
        <v>current capital lease obligation</v>
      </c>
      <c r="C89" t="str">
        <f>"—"</f>
        <v>—</v>
      </c>
      <c r="D89" t="str">
        <f>"—"</f>
        <v>—</v>
      </c>
      <c r="E89" t="str">
        <f>"—"</f>
        <v>—</v>
      </c>
      <c r="F89" t="str">
        <f>"—"</f>
        <v>—</v>
      </c>
      <c r="G89" t="str">
        <f>"—"</f>
        <v>—</v>
      </c>
    </row>
    <row r="90" spans="1:8" outlineLevel="1" x14ac:dyDescent="0.2">
      <c r="B90" t="str">
        <f>"current deferred liabilities"</f>
        <v>current deferred liabilities</v>
      </c>
      <c r="C90" t="str">
        <f>"8080"</f>
        <v>8080</v>
      </c>
      <c r="D90" t="str">
        <f>"7548"</f>
        <v>7548</v>
      </c>
      <c r="E90" t="str">
        <f>"5966"</f>
        <v>5966</v>
      </c>
      <c r="F90" t="str">
        <f>"5522"</f>
        <v>5522</v>
      </c>
      <c r="G90" t="str">
        <f>"6643"</f>
        <v>6643</v>
      </c>
    </row>
    <row r="91" spans="1:8" outlineLevel="1" x14ac:dyDescent="0.2">
      <c r="B91" t="str">
        <f>"current deferred taxes liabilities"</f>
        <v>current deferred taxes liabilities</v>
      </c>
      <c r="C91" t="str">
        <f>"—"</f>
        <v>—</v>
      </c>
      <c r="D91" t="str">
        <f>"—"</f>
        <v>—</v>
      </c>
      <c r="E91" t="str">
        <f>"—"</f>
        <v>—</v>
      </c>
      <c r="F91" t="str">
        <f>"—"</f>
        <v>—</v>
      </c>
      <c r="G91" t="str">
        <f>"—"</f>
        <v>—</v>
      </c>
    </row>
    <row r="92" spans="1:8" outlineLevel="1" x14ac:dyDescent="0.2">
      <c r="B92" t="str">
        <f>"current deferred revenue"</f>
        <v>current deferred revenue</v>
      </c>
      <c r="C92" t="str">
        <f>"8080"</f>
        <v>8080</v>
      </c>
      <c r="D92" t="str">
        <f>"7548"</f>
        <v>7548</v>
      </c>
      <c r="E92" t="str">
        <f>"5966"</f>
        <v>5966</v>
      </c>
      <c r="F92" t="str">
        <f>"5522"</f>
        <v>5522</v>
      </c>
      <c r="G92" t="str">
        <f>"6643"</f>
        <v>6643</v>
      </c>
    </row>
    <row r="93" spans="1:8" outlineLevel="1" x14ac:dyDescent="0.2">
      <c r="B93" t="str">
        <f>"Other Current Liabilities"</f>
        <v>Other Current Liabilities</v>
      </c>
      <c r="C93" t="str">
        <f>"—"</f>
        <v>—</v>
      </c>
      <c r="D93" t="str">
        <f>"30551"</f>
        <v>30551</v>
      </c>
      <c r="E93" t="str">
        <f>"33327"</f>
        <v>33327</v>
      </c>
      <c r="F93" t="str">
        <f>"37720"</f>
        <v>37720</v>
      </c>
      <c r="G93" t="str">
        <f>"42684"</f>
        <v>42684</v>
      </c>
    </row>
    <row r="94" spans="1:8" x14ac:dyDescent="0.2">
      <c r="A94" t="s">
        <v>15</v>
      </c>
      <c r="B94" t="str">
        <f>"total non current liabilities"</f>
        <v>total non current liabilities</v>
      </c>
      <c r="C94" t="str">
        <f>"114431"</f>
        <v>114431</v>
      </c>
      <c r="D94" t="str">
        <f>"140458"</f>
        <v>140458</v>
      </c>
      <c r="E94" t="str">
        <f>"142649"</f>
        <v>142649</v>
      </c>
      <c r="F94" t="str">
        <f>"142310"</f>
        <v>142310</v>
      </c>
      <c r="G94" t="str">
        <f>"153157"</f>
        <v>153157</v>
      </c>
    </row>
    <row r="95" spans="1:8" outlineLevel="1" x14ac:dyDescent="0.2">
      <c r="B95" t="str">
        <f>"long term provisions"</f>
        <v>long term provisions</v>
      </c>
      <c r="C95" t="str">
        <f>"—"</f>
        <v>—</v>
      </c>
      <c r="D95" t="str">
        <f>"—"</f>
        <v>—</v>
      </c>
      <c r="E95" t="str">
        <f>"—"</f>
        <v>—</v>
      </c>
      <c r="F95" t="str">
        <f>"—"</f>
        <v>—</v>
      </c>
      <c r="G95" t="str">
        <f>"—"</f>
        <v>—</v>
      </c>
    </row>
    <row r="96" spans="1:8" outlineLevel="1" x14ac:dyDescent="0.2">
      <c r="B96" t="str">
        <f>"long term debt and capital lease obligation"</f>
        <v>long term debt and capital lease obligation</v>
      </c>
      <c r="C96" t="str">
        <f>"75427"</f>
        <v>75427</v>
      </c>
      <c r="D96" t="str">
        <f>"97207"</f>
        <v>97207</v>
      </c>
      <c r="E96" t="str">
        <f>"93735"</f>
        <v>93735</v>
      </c>
      <c r="F96" t="str">
        <f>"91807"</f>
        <v>91807</v>
      </c>
      <c r="G96" t="str">
        <f>"98667"</f>
        <v>98667</v>
      </c>
      <c r="H96" s="2" t="s">
        <v>25</v>
      </c>
    </row>
    <row r="97" spans="1:8" x14ac:dyDescent="0.2">
      <c r="A97" t="s">
        <v>13</v>
      </c>
      <c r="B97" t="str">
        <f>"Long Term Debt"</f>
        <v>Long Term Debt</v>
      </c>
      <c r="C97" t="str">
        <f>"75427"</f>
        <v>75427</v>
      </c>
      <c r="D97" t="str">
        <f>"97207"</f>
        <v>97207</v>
      </c>
      <c r="E97" t="str">
        <f>"93735"</f>
        <v>93735</v>
      </c>
      <c r="F97" t="str">
        <f>"91807"</f>
        <v>91807</v>
      </c>
      <c r="G97" t="str">
        <f>"98667"</f>
        <v>98667</v>
      </c>
    </row>
    <row r="98" spans="1:8" outlineLevel="1" x14ac:dyDescent="0.2">
      <c r="B98" t="str">
        <f>"long term capital lease obligation"</f>
        <v>long term capital lease obligation</v>
      </c>
      <c r="C98" t="str">
        <f>"—"</f>
        <v>—</v>
      </c>
      <c r="D98" t="str">
        <f>"—"</f>
        <v>—</v>
      </c>
      <c r="E98" t="str">
        <f>"—"</f>
        <v>—</v>
      </c>
      <c r="F98" t="str">
        <f>"—"</f>
        <v>—</v>
      </c>
      <c r="G98" t="str">
        <f>"—"</f>
        <v>—</v>
      </c>
    </row>
    <row r="99" spans="1:8" outlineLevel="1" x14ac:dyDescent="0.2">
      <c r="B99" t="str">
        <f>"non current deferred liabilities"</f>
        <v>non current deferred liabilities</v>
      </c>
      <c r="C99" t="str">
        <f>"28949"</f>
        <v>28949</v>
      </c>
      <c r="D99" t="str">
        <f>"34340"</f>
        <v>34340</v>
      </c>
      <c r="E99" t="str">
        <f>"3223"</f>
        <v>3223</v>
      </c>
      <c r="F99" t="str">
        <f t="shared" ref="F99:G110" si="9">"—"</f>
        <v>—</v>
      </c>
      <c r="G99" t="str">
        <f t="shared" si="9"/>
        <v>—</v>
      </c>
    </row>
    <row r="100" spans="1:8" outlineLevel="1" x14ac:dyDescent="0.2">
      <c r="B100" t="str">
        <f>"non current deferred taxes liabilities"</f>
        <v>non current deferred taxes liabilities</v>
      </c>
      <c r="C100" t="str">
        <f>"26019"</f>
        <v>26019</v>
      </c>
      <c r="D100" t="str">
        <f>"31504"</f>
        <v>31504</v>
      </c>
      <c r="E100" t="str">
        <f>"426"</f>
        <v>426</v>
      </c>
      <c r="F100" t="str">
        <f t="shared" si="9"/>
        <v>—</v>
      </c>
      <c r="G100" t="str">
        <f t="shared" si="9"/>
        <v>—</v>
      </c>
    </row>
    <row r="101" spans="1:8" outlineLevel="1" x14ac:dyDescent="0.2">
      <c r="B101" t="str">
        <f>"non current deferred revenue"</f>
        <v>non current deferred revenue</v>
      </c>
      <c r="C101" t="str">
        <f>"2930"</f>
        <v>2930</v>
      </c>
      <c r="D101" t="str">
        <f>"2836"</f>
        <v>2836</v>
      </c>
      <c r="E101" t="str">
        <f>"2797"</f>
        <v>2797</v>
      </c>
      <c r="F101" t="str">
        <f t="shared" si="9"/>
        <v>—</v>
      </c>
      <c r="G101" t="str">
        <f t="shared" si="9"/>
        <v>—</v>
      </c>
    </row>
    <row r="102" spans="1:8" outlineLevel="1" x14ac:dyDescent="0.2">
      <c r="B102" t="str">
        <f>"tradeand other payables non current"</f>
        <v>tradeand other payables non current</v>
      </c>
      <c r="C102" t="str">
        <f t="shared" ref="C102:E110" si="10">"—"</f>
        <v>—</v>
      </c>
      <c r="D102" t="str">
        <f t="shared" si="10"/>
        <v>—</v>
      </c>
      <c r="E102" t="str">
        <f t="shared" si="10"/>
        <v>—</v>
      </c>
      <c r="F102" t="str">
        <f t="shared" si="9"/>
        <v>—</v>
      </c>
      <c r="G102" t="str">
        <f t="shared" si="9"/>
        <v>—</v>
      </c>
    </row>
    <row r="103" spans="1:8" outlineLevel="1" x14ac:dyDescent="0.2">
      <c r="B103" t="str">
        <f>"dueto related parties non current"</f>
        <v>dueto related parties non current</v>
      </c>
      <c r="C103" t="str">
        <f t="shared" si="10"/>
        <v>—</v>
      </c>
      <c r="D103" t="str">
        <f t="shared" si="10"/>
        <v>—</v>
      </c>
      <c r="E103" t="str">
        <f t="shared" si="10"/>
        <v>—</v>
      </c>
      <c r="F103" t="str">
        <f t="shared" si="9"/>
        <v>—</v>
      </c>
      <c r="G103" t="str">
        <f t="shared" si="9"/>
        <v>—</v>
      </c>
    </row>
    <row r="104" spans="1:8" outlineLevel="1" x14ac:dyDescent="0.2">
      <c r="B104" t="str">
        <f>"non current accrued expenses"</f>
        <v>non current accrued expenses</v>
      </c>
      <c r="C104" t="str">
        <f t="shared" si="10"/>
        <v>—</v>
      </c>
      <c r="D104" t="str">
        <f t="shared" si="10"/>
        <v>—</v>
      </c>
      <c r="E104" t="str">
        <f t="shared" si="10"/>
        <v>—</v>
      </c>
      <c r="F104" t="str">
        <f t="shared" si="9"/>
        <v>—</v>
      </c>
      <c r="G104" t="str">
        <f t="shared" si="9"/>
        <v>—</v>
      </c>
    </row>
    <row r="105" spans="1:8" outlineLevel="1" x14ac:dyDescent="0.2">
      <c r="B105" t="str">
        <f>"employee benefits"</f>
        <v>employee benefits</v>
      </c>
      <c r="C105" t="str">
        <f t="shared" si="10"/>
        <v>—</v>
      </c>
      <c r="D105" t="str">
        <f t="shared" si="10"/>
        <v>—</v>
      </c>
      <c r="E105" t="str">
        <f t="shared" si="10"/>
        <v>—</v>
      </c>
      <c r="F105" t="str">
        <f t="shared" si="9"/>
        <v>—</v>
      </c>
      <c r="G105" t="str">
        <f t="shared" si="9"/>
        <v>—</v>
      </c>
    </row>
    <row r="106" spans="1:8" outlineLevel="1" x14ac:dyDescent="0.2">
      <c r="B106" t="str">
        <f>"non current pension and other postretirement benefit plans"</f>
        <v>non current pension and other postretirement benefit plans</v>
      </c>
      <c r="C106" t="str">
        <f t="shared" si="10"/>
        <v>—</v>
      </c>
      <c r="D106" t="str">
        <f t="shared" si="10"/>
        <v>—</v>
      </c>
      <c r="E106" t="str">
        <f t="shared" si="10"/>
        <v>—</v>
      </c>
      <c r="F106" t="str">
        <f t="shared" si="9"/>
        <v>—</v>
      </c>
      <c r="G106" t="str">
        <f t="shared" si="9"/>
        <v>—</v>
      </c>
    </row>
    <row r="107" spans="1:8" outlineLevel="1" x14ac:dyDescent="0.2">
      <c r="B107" t="str">
        <f>"derivative product liabilities"</f>
        <v>derivative product liabilities</v>
      </c>
      <c r="C107" t="str">
        <f t="shared" si="10"/>
        <v>—</v>
      </c>
      <c r="D107" t="str">
        <f t="shared" si="10"/>
        <v>—</v>
      </c>
      <c r="E107" t="str">
        <f t="shared" si="10"/>
        <v>—</v>
      </c>
      <c r="F107" t="str">
        <f t="shared" si="9"/>
        <v>—</v>
      </c>
      <c r="G107" t="str">
        <f t="shared" si="9"/>
        <v>—</v>
      </c>
    </row>
    <row r="108" spans="1:8" outlineLevel="1" x14ac:dyDescent="0.2">
      <c r="B108" t="str">
        <f>"preferred securities outside stock equity"</f>
        <v>preferred securities outside stock equity</v>
      </c>
      <c r="C108" t="str">
        <f t="shared" si="10"/>
        <v>—</v>
      </c>
      <c r="D108" t="str">
        <f t="shared" si="10"/>
        <v>—</v>
      </c>
      <c r="E108" t="str">
        <f t="shared" si="10"/>
        <v>—</v>
      </c>
      <c r="F108" t="str">
        <f t="shared" si="9"/>
        <v>—</v>
      </c>
      <c r="G108" t="str">
        <f t="shared" si="9"/>
        <v>—</v>
      </c>
    </row>
    <row r="109" spans="1:8" outlineLevel="1" x14ac:dyDescent="0.2">
      <c r="B109" t="str">
        <f>"restricted common stock"</f>
        <v>restricted common stock</v>
      </c>
      <c r="C109" t="str">
        <f t="shared" si="10"/>
        <v>—</v>
      </c>
      <c r="D109" t="str">
        <f t="shared" si="10"/>
        <v>—</v>
      </c>
      <c r="E109" t="str">
        <f t="shared" si="10"/>
        <v>—</v>
      </c>
      <c r="F109" t="str">
        <f t="shared" si="9"/>
        <v>—</v>
      </c>
      <c r="G109" t="str">
        <f t="shared" si="9"/>
        <v>—</v>
      </c>
    </row>
    <row r="110" spans="1:8" outlineLevel="1" x14ac:dyDescent="0.2">
      <c r="B110" t="str">
        <f>"liabilities heldfor sale non current"</f>
        <v>liabilities heldfor sale non current</v>
      </c>
      <c r="C110" t="str">
        <f t="shared" si="10"/>
        <v>—</v>
      </c>
      <c r="D110" t="str">
        <f t="shared" si="10"/>
        <v>—</v>
      </c>
      <c r="E110" t="str">
        <f t="shared" si="10"/>
        <v>—</v>
      </c>
      <c r="F110" t="str">
        <f t="shared" si="9"/>
        <v>—</v>
      </c>
      <c r="G110" t="str">
        <f t="shared" si="9"/>
        <v>—</v>
      </c>
    </row>
    <row r="111" spans="1:8" outlineLevel="1" x14ac:dyDescent="0.2">
      <c r="B111" t="str">
        <f>"other non current liabilities"</f>
        <v>other non current liabilities</v>
      </c>
      <c r="C111" t="str">
        <f>"10055"</f>
        <v>10055</v>
      </c>
      <c r="D111" t="str">
        <f>"8654"</f>
        <v>8654</v>
      </c>
      <c r="E111" t="str">
        <f>"15325"</f>
        <v>15325</v>
      </c>
      <c r="F111" t="str">
        <f>"20958"</f>
        <v>20958</v>
      </c>
      <c r="G111" t="str">
        <f>"26320"</f>
        <v>26320</v>
      </c>
    </row>
    <row r="112" spans="1:8" outlineLevel="1" x14ac:dyDescent="0.2">
      <c r="B112" t="str">
        <f>"total equity gross minority interest"</f>
        <v>total equity gross minority interest</v>
      </c>
      <c r="C112" t="str">
        <f>"128249"</f>
        <v>128249</v>
      </c>
      <c r="D112" t="str">
        <f>"134047"</f>
        <v>134047</v>
      </c>
      <c r="E112" t="str">
        <f>"107147"</f>
        <v>107147</v>
      </c>
      <c r="F112" t="str">
        <f>"90488"</f>
        <v>90488</v>
      </c>
      <c r="G112" t="str">
        <f>"65339"</f>
        <v>65339</v>
      </c>
      <c r="H112" s="2" t="s">
        <v>26</v>
      </c>
    </row>
    <row r="113" spans="1:8" outlineLevel="1" x14ac:dyDescent="0.2">
      <c r="B113" t="str">
        <f>"stockholders equity"</f>
        <v>stockholders equity</v>
      </c>
      <c r="C113" t="str">
        <f>"128249"</f>
        <v>128249</v>
      </c>
      <c r="D113" t="str">
        <f>"134047"</f>
        <v>134047</v>
      </c>
      <c r="E113" t="str">
        <f>"107147"</f>
        <v>107147</v>
      </c>
      <c r="F113" t="str">
        <f>"90488"</f>
        <v>90488</v>
      </c>
      <c r="G113" t="str">
        <f>"65339"</f>
        <v>65339</v>
      </c>
    </row>
    <row r="114" spans="1:8" x14ac:dyDescent="0.2">
      <c r="A114" t="s">
        <v>16</v>
      </c>
      <c r="B114" t="str">
        <f>"capital stock"</f>
        <v>capital stock</v>
      </c>
      <c r="C114" t="str">
        <f>"31251"</f>
        <v>31251</v>
      </c>
      <c r="D114" t="str">
        <f>"35867"</f>
        <v>35867</v>
      </c>
      <c r="E114" t="str">
        <f>"40201"</f>
        <v>40201</v>
      </c>
      <c r="F114" t="str">
        <f>"45174"</f>
        <v>45174</v>
      </c>
      <c r="G114" t="str">
        <f>"50779"</f>
        <v>50779</v>
      </c>
      <c r="H114" s="2" t="s">
        <v>27</v>
      </c>
    </row>
    <row r="115" spans="1:8" outlineLevel="1" x14ac:dyDescent="0.2">
      <c r="B115" t="str">
        <f>"preferred stock"</f>
        <v>preferred stock</v>
      </c>
      <c r="C115" t="str">
        <f>"—"</f>
        <v>—</v>
      </c>
      <c r="D115" t="str">
        <f>"—"</f>
        <v>—</v>
      </c>
      <c r="E115" t="str">
        <f>"—"</f>
        <v>—</v>
      </c>
      <c r="F115" t="str">
        <f>"—"</f>
        <v>—</v>
      </c>
      <c r="G115" t="str">
        <f>"—"</f>
        <v>—</v>
      </c>
    </row>
    <row r="116" spans="1:8" outlineLevel="1" x14ac:dyDescent="0.2">
      <c r="B116" t="str">
        <f>"common stock"</f>
        <v>common stock</v>
      </c>
      <c r="C116" t="str">
        <f>"31251"</f>
        <v>31251</v>
      </c>
      <c r="D116" t="str">
        <f>"35867"</f>
        <v>35867</v>
      </c>
      <c r="E116" t="str">
        <f>"40201"</f>
        <v>40201</v>
      </c>
      <c r="F116" t="str">
        <f>"45174"</f>
        <v>45174</v>
      </c>
      <c r="G116" t="str">
        <f>"50779"</f>
        <v>50779</v>
      </c>
    </row>
    <row r="117" spans="1:8" outlineLevel="1" x14ac:dyDescent="0.2">
      <c r="B117" t="str">
        <f>"other capital stock"</f>
        <v>other capital stock</v>
      </c>
      <c r="C117" t="str">
        <f t="shared" ref="C117:G118" si="11">"—"</f>
        <v>—</v>
      </c>
      <c r="D117" t="str">
        <f t="shared" si="11"/>
        <v>—</v>
      </c>
      <c r="E117" t="str">
        <f t="shared" si="11"/>
        <v>—</v>
      </c>
      <c r="F117" t="str">
        <f t="shared" si="11"/>
        <v>—</v>
      </c>
      <c r="G117" t="str">
        <f t="shared" si="11"/>
        <v>—</v>
      </c>
    </row>
    <row r="118" spans="1:8" outlineLevel="1" x14ac:dyDescent="0.2">
      <c r="B118" t="str">
        <f>"additional paid in capital"</f>
        <v>additional paid in capital</v>
      </c>
      <c r="C118" t="str">
        <f t="shared" si="11"/>
        <v>—</v>
      </c>
      <c r="D118" t="str">
        <f t="shared" si="11"/>
        <v>—</v>
      </c>
      <c r="E118" t="str">
        <f t="shared" si="11"/>
        <v>—</v>
      </c>
      <c r="F118" t="str">
        <f t="shared" si="11"/>
        <v>—</v>
      </c>
      <c r="G118" t="str">
        <f t="shared" si="11"/>
        <v>—</v>
      </c>
    </row>
    <row r="119" spans="1:8" x14ac:dyDescent="0.2">
      <c r="A119" t="s">
        <v>18</v>
      </c>
      <c r="B119" t="str">
        <f>"retained earnings"</f>
        <v>retained earnings</v>
      </c>
      <c r="C119" t="str">
        <f>"96364"</f>
        <v>96364</v>
      </c>
      <c r="D119" t="str">
        <f>"98330"</f>
        <v>98330</v>
      </c>
      <c r="E119" t="str">
        <f>"70400"</f>
        <v>70400</v>
      </c>
      <c r="F119" t="str">
        <f>"45898"</f>
        <v>45898</v>
      </c>
      <c r="G119" t="str">
        <f>"14966"</f>
        <v>14966</v>
      </c>
    </row>
    <row r="120" spans="1:8" outlineLevel="1" x14ac:dyDescent="0.2">
      <c r="B120" t="str">
        <f>"treasury stock"</f>
        <v>treasury stock</v>
      </c>
      <c r="C120" t="str">
        <f>"—"</f>
        <v>—</v>
      </c>
      <c r="D120" t="str">
        <f>"—"</f>
        <v>—</v>
      </c>
      <c r="E120" t="str">
        <f>"—"</f>
        <v>—</v>
      </c>
      <c r="F120" t="str">
        <f>"—"</f>
        <v>—</v>
      </c>
      <c r="G120" t="str">
        <f>"—"</f>
        <v>—</v>
      </c>
    </row>
    <row r="121" spans="1:8" outlineLevel="1" x14ac:dyDescent="0.2">
      <c r="B121" t="str">
        <f>"gains losses not affecting retained earnings"</f>
        <v>gains losses not affecting retained earnings</v>
      </c>
      <c r="C121" t="str">
        <f>"634"</f>
        <v>634</v>
      </c>
      <c r="D121" t="str">
        <f>"-150"</f>
        <v>-150</v>
      </c>
      <c r="E121" t="str">
        <f>"-3454"</f>
        <v>-3454</v>
      </c>
      <c r="F121" t="str">
        <f>"-584"</f>
        <v>-584</v>
      </c>
      <c r="G121" t="str">
        <f>"-406"</f>
        <v>-406</v>
      </c>
    </row>
    <row r="122" spans="1:8" outlineLevel="1" x14ac:dyDescent="0.2">
      <c r="B122" t="str">
        <f>"unrealized gain loss"</f>
        <v>unrealized gain loss</v>
      </c>
      <c r="C122" t="str">
        <f t="shared" ref="C122:G128" si="12">"—"</f>
        <v>—</v>
      </c>
      <c r="D122" t="str">
        <f t="shared" si="12"/>
        <v>—</v>
      </c>
      <c r="E122" t="str">
        <f t="shared" si="12"/>
        <v>—</v>
      </c>
      <c r="F122" t="str">
        <f t="shared" si="12"/>
        <v>—</v>
      </c>
      <c r="G122" t="str">
        <f t="shared" si="12"/>
        <v>—</v>
      </c>
    </row>
    <row r="123" spans="1:8" outlineLevel="1" x14ac:dyDescent="0.2">
      <c r="B123" t="str">
        <f>"minimum pension liabilities"</f>
        <v>minimum pension liabilities</v>
      </c>
      <c r="C123" t="str">
        <f t="shared" si="12"/>
        <v>—</v>
      </c>
      <c r="D123" t="str">
        <f t="shared" si="12"/>
        <v>—</v>
      </c>
      <c r="E123" t="str">
        <f t="shared" si="12"/>
        <v>—</v>
      </c>
      <c r="F123" t="str">
        <f t="shared" si="12"/>
        <v>—</v>
      </c>
      <c r="G123" t="str">
        <f t="shared" si="12"/>
        <v>—</v>
      </c>
    </row>
    <row r="124" spans="1:8" outlineLevel="1" x14ac:dyDescent="0.2">
      <c r="B124" t="str">
        <f>"foreign currency translation adjustments"</f>
        <v>foreign currency translation adjustments</v>
      </c>
      <c r="C124" t="str">
        <f t="shared" si="12"/>
        <v>—</v>
      </c>
      <c r="D124" t="str">
        <f t="shared" si="12"/>
        <v>—</v>
      </c>
      <c r="E124" t="str">
        <f t="shared" si="12"/>
        <v>—</v>
      </c>
      <c r="F124" t="str">
        <f t="shared" si="12"/>
        <v>—</v>
      </c>
      <c r="G124" t="str">
        <f t="shared" si="12"/>
        <v>—</v>
      </c>
    </row>
    <row r="125" spans="1:8" outlineLevel="1" x14ac:dyDescent="0.2">
      <c r="B125" t="str">
        <f>"fixed assets revaluation reserve"</f>
        <v>fixed assets revaluation reserve</v>
      </c>
      <c r="C125" t="str">
        <f t="shared" si="12"/>
        <v>—</v>
      </c>
      <c r="D125" t="str">
        <f t="shared" si="12"/>
        <v>—</v>
      </c>
      <c r="E125" t="str">
        <f t="shared" si="12"/>
        <v>—</v>
      </c>
      <c r="F125" t="str">
        <f t="shared" si="12"/>
        <v>—</v>
      </c>
      <c r="G125" t="str">
        <f t="shared" si="12"/>
        <v>—</v>
      </c>
    </row>
    <row r="126" spans="1:8" outlineLevel="1" x14ac:dyDescent="0.2">
      <c r="B126" t="str">
        <f>"other equity adjustments"</f>
        <v>other equity adjustments</v>
      </c>
      <c r="C126" t="str">
        <f t="shared" si="12"/>
        <v>—</v>
      </c>
      <c r="D126" t="str">
        <f t="shared" si="12"/>
        <v>—</v>
      </c>
      <c r="E126" t="str">
        <f t="shared" si="12"/>
        <v>—</v>
      </c>
      <c r="F126" t="str">
        <f t="shared" si="12"/>
        <v>—</v>
      </c>
      <c r="G126" t="str">
        <f t="shared" si="12"/>
        <v>—</v>
      </c>
    </row>
    <row r="127" spans="1:8" outlineLevel="1" x14ac:dyDescent="0.2">
      <c r="B127" t="str">
        <f>"other equity interest"</f>
        <v>other equity interest</v>
      </c>
      <c r="C127" t="str">
        <f t="shared" si="12"/>
        <v>—</v>
      </c>
      <c r="D127" t="str">
        <f t="shared" si="12"/>
        <v>—</v>
      </c>
      <c r="E127" t="str">
        <f t="shared" si="12"/>
        <v>—</v>
      </c>
      <c r="F127" t="str">
        <f t="shared" si="12"/>
        <v>—</v>
      </c>
      <c r="G127" t="str">
        <f t="shared" si="12"/>
        <v>—</v>
      </c>
    </row>
    <row r="128" spans="1:8" outlineLevel="1" x14ac:dyDescent="0.2">
      <c r="B128" t="str">
        <f>"Minority Interest"</f>
        <v>Minority Interest</v>
      </c>
      <c r="C128" t="str">
        <f t="shared" si="12"/>
        <v>—</v>
      </c>
      <c r="D128" t="str">
        <f t="shared" si="12"/>
        <v>—</v>
      </c>
      <c r="E128" t="str">
        <f t="shared" si="12"/>
        <v>—</v>
      </c>
      <c r="F128" t="str">
        <f t="shared" si="12"/>
        <v>—</v>
      </c>
      <c r="G128" t="str">
        <f t="shared" si="12"/>
        <v>—</v>
      </c>
    </row>
    <row r="129" spans="1:7" x14ac:dyDescent="0.2">
      <c r="A129" t="s">
        <v>20</v>
      </c>
      <c r="B129" t="str">
        <f>"total capitalization"</f>
        <v>total capitalization</v>
      </c>
      <c r="C129" t="str">
        <f>"203676"</f>
        <v>203676</v>
      </c>
      <c r="D129" t="str">
        <f>"231254"</f>
        <v>231254</v>
      </c>
      <c r="E129" t="str">
        <f>"200882"</f>
        <v>200882</v>
      </c>
      <c r="F129" t="str">
        <f>"182295"</f>
        <v>182295</v>
      </c>
      <c r="G129" t="str">
        <f>"164006"</f>
        <v>164006</v>
      </c>
    </row>
    <row r="130" spans="1:7" outlineLevel="1" x14ac:dyDescent="0.2">
      <c r="B130" t="str">
        <f>"preferred stock equity"</f>
        <v>preferred stock equity</v>
      </c>
      <c r="C130" t="str">
        <f t="shared" ref="C130:G142" si="13">"—"</f>
        <v>—</v>
      </c>
      <c r="D130" t="str">
        <f t="shared" si="13"/>
        <v>—</v>
      </c>
      <c r="E130" t="str">
        <f t="shared" si="13"/>
        <v>—</v>
      </c>
      <c r="F130" t="str">
        <f t="shared" si="13"/>
        <v>—</v>
      </c>
      <c r="G130" t="str">
        <f t="shared" si="13"/>
        <v>—</v>
      </c>
    </row>
    <row r="131" spans="1:7" outlineLevel="1" x14ac:dyDescent="0.2">
      <c r="B131" t="str">
        <f>"common stock equity"</f>
        <v>common stock equity</v>
      </c>
      <c r="C131" t="str">
        <f t="shared" si="13"/>
        <v>—</v>
      </c>
      <c r="D131" t="str">
        <f t="shared" si="13"/>
        <v>—</v>
      </c>
      <c r="E131" t="str">
        <f t="shared" si="13"/>
        <v>—</v>
      </c>
      <c r="F131" t="str">
        <f t="shared" si="13"/>
        <v>—</v>
      </c>
      <c r="G131" t="str">
        <f t="shared" si="13"/>
        <v>—</v>
      </c>
    </row>
    <row r="132" spans="1:7" outlineLevel="1" x14ac:dyDescent="0.2">
      <c r="B132" t="str">
        <f>"Capital Lease Obligations"</f>
        <v>Capital Lease Obligations</v>
      </c>
      <c r="C132" t="str">
        <f t="shared" si="13"/>
        <v>—</v>
      </c>
      <c r="D132" t="str">
        <f t="shared" si="13"/>
        <v>—</v>
      </c>
      <c r="E132" t="str">
        <f t="shared" si="13"/>
        <v>—</v>
      </c>
      <c r="F132" t="str">
        <f t="shared" si="13"/>
        <v>—</v>
      </c>
      <c r="G132" t="str">
        <f t="shared" si="13"/>
        <v>—</v>
      </c>
    </row>
    <row r="133" spans="1:7" x14ac:dyDescent="0.2">
      <c r="A133" t="s">
        <v>14</v>
      </c>
      <c r="B133" t="str">
        <f>"net tangible assets"</f>
        <v>net tangible assets</v>
      </c>
      <c r="C133" t="str">
        <f t="shared" si="13"/>
        <v>—</v>
      </c>
      <c r="D133" t="str">
        <f t="shared" si="13"/>
        <v>—</v>
      </c>
      <c r="E133" t="str">
        <f t="shared" si="13"/>
        <v>—</v>
      </c>
      <c r="F133" t="str">
        <f t="shared" si="13"/>
        <v>—</v>
      </c>
      <c r="G133" t="str">
        <f t="shared" si="13"/>
        <v>—</v>
      </c>
    </row>
    <row r="134" spans="1:7" outlineLevel="1" x14ac:dyDescent="0.2">
      <c r="B134" t="str">
        <f>"working capital"</f>
        <v>working capital</v>
      </c>
      <c r="C134" t="str">
        <f t="shared" si="13"/>
        <v>—</v>
      </c>
      <c r="D134" t="str">
        <f t="shared" si="13"/>
        <v>—</v>
      </c>
      <c r="E134" t="str">
        <f t="shared" si="13"/>
        <v>—</v>
      </c>
      <c r="F134" t="str">
        <f t="shared" si="13"/>
        <v>—</v>
      </c>
      <c r="G134" t="str">
        <f t="shared" si="13"/>
        <v>—</v>
      </c>
    </row>
    <row r="135" spans="1:7" outlineLevel="1" x14ac:dyDescent="0.2">
      <c r="B135" t="str">
        <f>"invested capital"</f>
        <v>invested capital</v>
      </c>
      <c r="C135" t="str">
        <f t="shared" si="13"/>
        <v>—</v>
      </c>
      <c r="D135" t="str">
        <f t="shared" si="13"/>
        <v>—</v>
      </c>
      <c r="E135" t="str">
        <f t="shared" si="13"/>
        <v>—</v>
      </c>
      <c r="F135" t="str">
        <f t="shared" si="13"/>
        <v>—</v>
      </c>
      <c r="G135" t="str">
        <f t="shared" si="13"/>
        <v>—</v>
      </c>
    </row>
    <row r="136" spans="1:7" outlineLevel="1" x14ac:dyDescent="0.2">
      <c r="B136" t="str">
        <f>"tangible book value"</f>
        <v>tangible book value</v>
      </c>
      <c r="C136" t="str">
        <f t="shared" si="13"/>
        <v>—</v>
      </c>
      <c r="D136" t="str">
        <f t="shared" si="13"/>
        <v>—</v>
      </c>
      <c r="E136" t="str">
        <f t="shared" si="13"/>
        <v>—</v>
      </c>
      <c r="F136" t="str">
        <f t="shared" si="13"/>
        <v>—</v>
      </c>
      <c r="G136" t="str">
        <f t="shared" si="13"/>
        <v>—</v>
      </c>
    </row>
    <row r="137" spans="1:7" outlineLevel="1" x14ac:dyDescent="0.2">
      <c r="B137" t="str">
        <f>"total debt"</f>
        <v>total debt</v>
      </c>
      <c r="C137" t="str">
        <f t="shared" si="13"/>
        <v>—</v>
      </c>
      <c r="D137" t="str">
        <f t="shared" si="13"/>
        <v>—</v>
      </c>
      <c r="E137" t="str">
        <f t="shared" si="13"/>
        <v>—</v>
      </c>
      <c r="F137" t="str">
        <f t="shared" si="13"/>
        <v>—</v>
      </c>
      <c r="G137" t="str">
        <f t="shared" si="13"/>
        <v>—</v>
      </c>
    </row>
    <row r="138" spans="1:7" outlineLevel="1" x14ac:dyDescent="0.2">
      <c r="B138" t="str">
        <f>"net debt"</f>
        <v>net debt</v>
      </c>
      <c r="C138" t="str">
        <f t="shared" si="13"/>
        <v>—</v>
      </c>
      <c r="D138" t="str">
        <f t="shared" si="13"/>
        <v>—</v>
      </c>
      <c r="E138" t="str">
        <f t="shared" si="13"/>
        <v>—</v>
      </c>
      <c r="F138" t="str">
        <f t="shared" si="13"/>
        <v>—</v>
      </c>
      <c r="G138" t="str">
        <f t="shared" si="13"/>
        <v>—</v>
      </c>
    </row>
    <row r="139" spans="1:7" outlineLevel="1" x14ac:dyDescent="0.2">
      <c r="B139" t="str">
        <f>"share issued"</f>
        <v>share issued</v>
      </c>
      <c r="C139" t="str">
        <f t="shared" si="13"/>
        <v>—</v>
      </c>
      <c r="D139" t="str">
        <f t="shared" si="13"/>
        <v>—</v>
      </c>
      <c r="E139" t="str">
        <f t="shared" si="13"/>
        <v>—</v>
      </c>
      <c r="F139" t="str">
        <f t="shared" si="13"/>
        <v>—</v>
      </c>
      <c r="G139" t="str">
        <f t="shared" si="13"/>
        <v>—</v>
      </c>
    </row>
    <row r="140" spans="1:7" outlineLevel="1" x14ac:dyDescent="0.2">
      <c r="B140" t="str">
        <f>"ordinary shares number"</f>
        <v>ordinary shares number</v>
      </c>
      <c r="C140" t="str">
        <f t="shared" si="13"/>
        <v>—</v>
      </c>
      <c r="D140" t="str">
        <f t="shared" si="13"/>
        <v>—</v>
      </c>
      <c r="E140" t="str">
        <f t="shared" si="13"/>
        <v>—</v>
      </c>
      <c r="F140" t="str">
        <f t="shared" si="13"/>
        <v>—</v>
      </c>
      <c r="G140" t="str">
        <f t="shared" si="13"/>
        <v>—</v>
      </c>
    </row>
    <row r="141" spans="1:7" outlineLevel="1" x14ac:dyDescent="0.2">
      <c r="B141" t="str">
        <f>"preferred shares number"</f>
        <v>preferred shares number</v>
      </c>
      <c r="C141" t="str">
        <f t="shared" si="13"/>
        <v>—</v>
      </c>
      <c r="D141" t="str">
        <f t="shared" si="13"/>
        <v>—</v>
      </c>
      <c r="E141" t="str">
        <f t="shared" si="13"/>
        <v>—</v>
      </c>
      <c r="F141" t="str">
        <f t="shared" si="13"/>
        <v>—</v>
      </c>
      <c r="G141" t="str">
        <f t="shared" si="13"/>
        <v>—</v>
      </c>
    </row>
    <row r="142" spans="1:7" outlineLevel="1" x14ac:dyDescent="0.2">
      <c r="B142" t="str">
        <f>"treasury shares number"</f>
        <v>treasury shares number</v>
      </c>
      <c r="C142" t="str">
        <f t="shared" si="13"/>
        <v>—</v>
      </c>
      <c r="D142" t="str">
        <f t="shared" si="13"/>
        <v>—</v>
      </c>
      <c r="E142" t="str">
        <f t="shared" si="13"/>
        <v>—</v>
      </c>
      <c r="F142" t="str">
        <f t="shared" si="13"/>
        <v>—</v>
      </c>
      <c r="G142" t="str">
        <f t="shared" si="13"/>
        <v>—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Annual_BalanceSheet_AAPL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Roe</dc:creator>
  <cp:lastModifiedBy>Stephen Roe</cp:lastModifiedBy>
  <dcterms:created xsi:type="dcterms:W3CDTF">2021-10-18T12:25:05Z</dcterms:created>
  <dcterms:modified xsi:type="dcterms:W3CDTF">2021-10-18T13:11:36Z</dcterms:modified>
</cp:coreProperties>
</file>