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shzi\OneDrive\Documentos\RPG\"/>
    </mc:Choice>
  </mc:AlternateContent>
  <xr:revisionPtr revIDLastSave="0" documentId="13_ncr:1_{94DCEDC7-B570-44C4-AE34-D856ACCAFE09}" xr6:coauthVersionLast="47" xr6:coauthVersionMax="47" xr10:uidLastSave="{00000000-0000-0000-0000-000000000000}"/>
  <bookViews>
    <workbookView xWindow="-120" yWindow="-120" windowWidth="29040" windowHeight="16440" xr2:uid="{B06712FB-01E1-4038-87FF-6E8B7BD1F9D8}"/>
  </bookViews>
  <sheets>
    <sheet name="Ligma"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E7" i="3" s="1"/>
  <c r="H3" i="1" l="1"/>
  <c r="C6" i="1"/>
  <c r="F32" i="8"/>
  <c r="F29" i="8"/>
  <c r="F28" i="8"/>
  <c r="F23" i="8"/>
  <c r="F20" i="8"/>
  <c r="F19" i="8"/>
  <c r="F17" i="8"/>
  <c r="F16" i="8"/>
  <c r="F15" i="8"/>
  <c r="F13" i="8"/>
  <c r="P12" i="8"/>
  <c r="F12" i="8"/>
  <c r="P11" i="8"/>
  <c r="F11" i="8"/>
  <c r="F10" i="8"/>
  <c r="P8" i="8"/>
  <c r="F7" i="8"/>
  <c r="F6" i="8"/>
  <c r="F5" i="8"/>
  <c r="F4" i="8"/>
  <c r="F3" i="8"/>
  <c r="P11" i="3"/>
  <c r="P12" i="3"/>
  <c r="P8" i="3"/>
  <c r="E18" i="4"/>
  <c r="E19" i="4"/>
  <c r="E20" i="4"/>
  <c r="E21" i="4"/>
  <c r="P13" i="3" s="1"/>
  <c r="E22" i="4"/>
  <c r="E17" i="4"/>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H4" i="1" l="1"/>
  <c r="P9" i="3"/>
  <c r="P10" i="3"/>
  <c r="P13" i="8"/>
  <c r="P9" i="8"/>
  <c r="P10" i="8"/>
  <c r="C13" i="4"/>
  <c r="J3" i="4"/>
  <c r="J4" i="4"/>
  <c r="J5" i="4"/>
  <c r="J6" i="4"/>
  <c r="J7" i="4"/>
  <c r="I16" i="1"/>
  <c r="H16" i="1"/>
  <c r="G16" i="1"/>
  <c r="C8" i="1"/>
  <c r="C7" i="1"/>
  <c r="C5" i="1"/>
  <c r="C4" i="1"/>
  <c r="C3" i="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 i="5"/>
  <c r="B21" i="5"/>
  <c r="B22" i="5"/>
  <c r="B23" i="5"/>
  <c r="B24" i="5"/>
  <c r="B25" i="5"/>
  <c r="B26" i="5"/>
  <c r="B27" i="5"/>
  <c r="B28" i="5"/>
  <c r="B29" i="5"/>
  <c r="B30" i="5"/>
  <c r="B31" i="5"/>
  <c r="B4" i="5"/>
  <c r="B5" i="5"/>
  <c r="B6" i="5"/>
  <c r="B7" i="5"/>
  <c r="B8" i="5"/>
  <c r="B9" i="5"/>
  <c r="B10" i="5"/>
  <c r="B11" i="5"/>
  <c r="B12" i="5"/>
  <c r="B13" i="5"/>
  <c r="B14" i="5"/>
  <c r="B15" i="5"/>
  <c r="B16" i="5"/>
  <c r="B17" i="5"/>
  <c r="B18" i="5"/>
  <c r="B19" i="5"/>
  <c r="B20" i="5"/>
  <c r="B3" i="5"/>
  <c r="J8" i="4" l="1"/>
  <c r="J9" i="4"/>
  <c r="J10" i="4"/>
  <c r="J11" i="4"/>
  <c r="J12" i="4"/>
  <c r="J13" i="4"/>
  <c r="J14" i="4"/>
  <c r="J15" i="4"/>
  <c r="J16" i="4"/>
  <c r="J17" i="4"/>
  <c r="J18" i="4"/>
  <c r="J19" i="4"/>
  <c r="J20" i="4"/>
  <c r="J21" i="4"/>
  <c r="J22" i="4"/>
  <c r="F4" i="3"/>
  <c r="F6" i="3"/>
  <c r="F7" i="3"/>
  <c r="F8" i="3"/>
  <c r="F9" i="3"/>
  <c r="F10" i="3"/>
  <c r="F11" i="3"/>
  <c r="F13" i="3"/>
  <c r="F14" i="3"/>
  <c r="F16" i="3"/>
  <c r="F17" i="3"/>
  <c r="F19" i="3"/>
  <c r="F20" i="3"/>
  <c r="F23" i="3"/>
  <c r="F27" i="3"/>
  <c r="F28" i="3"/>
  <c r="F29" i="3"/>
  <c r="F31" i="3"/>
  <c r="F32" i="3"/>
  <c r="D16" i="1"/>
  <c r="D5" i="1"/>
  <c r="D12" i="8" s="1"/>
  <c r="D6" i="1"/>
  <c r="D3" i="1"/>
  <c r="D4" i="1"/>
  <c r="D8" i="1"/>
  <c r="D7" i="1"/>
  <c r="C16" i="1"/>
  <c r="F26" i="3" l="1"/>
  <c r="D27" i="8"/>
  <c r="D9" i="8"/>
  <c r="D33" i="8"/>
  <c r="D17" i="8"/>
  <c r="D32" i="8"/>
  <c r="D31" i="8"/>
  <c r="G5" i="1"/>
  <c r="D30" i="8"/>
  <c r="D15" i="8"/>
  <c r="D13" i="8"/>
  <c r="D29" i="8"/>
  <c r="D20" i="8"/>
  <c r="D3" i="8"/>
  <c r="D7" i="8"/>
  <c r="D28" i="8"/>
  <c r="D21" i="8"/>
  <c r="D5" i="8"/>
  <c r="D18" i="8"/>
  <c r="D24" i="8"/>
  <c r="D26" i="8"/>
  <c r="D23" i="8"/>
  <c r="D14" i="8"/>
  <c r="D8" i="8"/>
  <c r="D25" i="8"/>
  <c r="D22" i="8"/>
  <c r="D6" i="8"/>
  <c r="D4" i="8"/>
  <c r="D11" i="8"/>
  <c r="D19" i="8"/>
  <c r="D16" i="8"/>
  <c r="D10" i="8"/>
  <c r="F33" i="3"/>
  <c r="E30" i="8"/>
  <c r="E27" i="8"/>
  <c r="E24" i="8"/>
  <c r="E21" i="8"/>
  <c r="E18" i="8"/>
  <c r="E15" i="8"/>
  <c r="E12" i="8"/>
  <c r="J12" i="8" s="1"/>
  <c r="F9" i="8"/>
  <c r="F14" i="8"/>
  <c r="F27" i="8"/>
  <c r="F33" i="8"/>
  <c r="E9" i="8"/>
  <c r="F21" i="8"/>
  <c r="E33" i="8"/>
  <c r="E5" i="8"/>
  <c r="F26" i="8"/>
  <c r="E3" i="8"/>
  <c r="E6" i="8"/>
  <c r="E29" i="8"/>
  <c r="E26" i="8"/>
  <c r="E23" i="8"/>
  <c r="E20" i="8"/>
  <c r="E17" i="8"/>
  <c r="E14" i="8"/>
  <c r="E11" i="8"/>
  <c r="J11" i="8" s="1"/>
  <c r="F8" i="8"/>
  <c r="E10" i="8"/>
  <c r="F30" i="8"/>
  <c r="E32" i="8"/>
  <c r="E8" i="8"/>
  <c r="E4" i="8"/>
  <c r="F31" i="8"/>
  <c r="F25" i="8"/>
  <c r="F22" i="8"/>
  <c r="E31" i="8"/>
  <c r="E28" i="8"/>
  <c r="E25" i="8"/>
  <c r="E22" i="8"/>
  <c r="E19" i="8"/>
  <c r="E16" i="8"/>
  <c r="E13" i="8"/>
  <c r="E7" i="8"/>
  <c r="F18" i="8"/>
  <c r="F24" i="8"/>
  <c r="F22" i="3"/>
  <c r="F18" i="3"/>
  <c r="F24" i="3"/>
  <c r="F25" i="3"/>
  <c r="C12" i="4"/>
  <c r="M2" i="4"/>
  <c r="D18" i="3"/>
  <c r="D24" i="3"/>
  <c r="D25" i="3"/>
  <c r="E24" i="3"/>
  <c r="E25" i="3"/>
  <c r="E33" i="3"/>
  <c r="F5" i="3"/>
  <c r="F3" i="3"/>
  <c r="F15" i="3"/>
  <c r="F30" i="3"/>
  <c r="F12" i="3"/>
  <c r="F21" i="3"/>
  <c r="G4" i="1"/>
  <c r="E3" i="3"/>
  <c r="E11" i="3"/>
  <c r="E12" i="3"/>
  <c r="E13" i="3"/>
  <c r="E14" i="3"/>
  <c r="E15" i="3"/>
  <c r="E4" i="3"/>
  <c r="E16" i="3"/>
  <c r="E5" i="3"/>
  <c r="E17" i="3"/>
  <c r="E6" i="3"/>
  <c r="E18" i="3"/>
  <c r="E19" i="3"/>
  <c r="E8" i="3"/>
  <c r="E20" i="3"/>
  <c r="E9" i="3"/>
  <c r="E22" i="3"/>
  <c r="E10" i="3"/>
  <c r="E26" i="3"/>
  <c r="E21" i="3"/>
  <c r="E23" i="3"/>
  <c r="E27" i="3"/>
  <c r="E28" i="3"/>
  <c r="E29" i="3"/>
  <c r="E30" i="3"/>
  <c r="E31" i="3"/>
  <c r="E32" i="3"/>
  <c r="D27" i="3"/>
  <c r="D31" i="3"/>
  <c r="J31" i="3" s="1"/>
  <c r="D9" i="3"/>
  <c r="D33" i="3"/>
  <c r="D32" i="3"/>
  <c r="D17" i="3"/>
  <c r="D12" i="3"/>
  <c r="D7" i="3"/>
  <c r="D29" i="3"/>
  <c r="D3" i="3"/>
  <c r="D20" i="3"/>
  <c r="D30" i="3"/>
  <c r="D15" i="3"/>
  <c r="D28" i="3"/>
  <c r="D13" i="3"/>
  <c r="D21" i="3"/>
  <c r="D5" i="3"/>
  <c r="D19" i="3"/>
  <c r="J19" i="3" s="1"/>
  <c r="D10" i="3"/>
  <c r="J10" i="3" s="1"/>
  <c r="D6" i="3"/>
  <c r="D4" i="3"/>
  <c r="D11" i="3"/>
  <c r="J11" i="3" s="1"/>
  <c r="D16" i="3"/>
  <c r="D23" i="3"/>
  <c r="D26" i="3"/>
  <c r="D14" i="3"/>
  <c r="D22" i="3"/>
  <c r="D8" i="3"/>
  <c r="J14" i="3" l="1"/>
  <c r="J17" i="3"/>
  <c r="J12" i="3"/>
  <c r="J29" i="3"/>
  <c r="J7" i="3"/>
  <c r="C7" i="5" s="1"/>
  <c r="E7" i="5" s="1"/>
  <c r="J5" i="3"/>
  <c r="C5" i="5" s="1"/>
  <c r="E5" i="5" s="1"/>
  <c r="J32" i="3"/>
  <c r="J8" i="3"/>
  <c r="C8" i="5" s="1"/>
  <c r="E8" i="5" s="1"/>
  <c r="J22" i="3"/>
  <c r="C22" i="5" s="1"/>
  <c r="E22" i="5" s="1"/>
  <c r="J13" i="3"/>
  <c r="C13" i="5" s="1"/>
  <c r="E13" i="5" s="1"/>
  <c r="J9" i="3"/>
  <c r="C9" i="5" s="1"/>
  <c r="E9" i="5" s="1"/>
  <c r="J33" i="3"/>
  <c r="J6" i="3"/>
  <c r="C6" i="5" s="1"/>
  <c r="E6" i="5" s="1"/>
  <c r="J18" i="3"/>
  <c r="C18" i="5" s="1"/>
  <c r="E18" i="5" s="1"/>
  <c r="J21" i="3"/>
  <c r="C21" i="5" s="1"/>
  <c r="J27" i="3"/>
  <c r="J30" i="3"/>
  <c r="J26" i="3"/>
  <c r="J16" i="3"/>
  <c r="C16" i="5" s="1"/>
  <c r="E16" i="5" s="1"/>
  <c r="J20" i="3"/>
  <c r="C20" i="5" s="1"/>
  <c r="E20" i="5" s="1"/>
  <c r="J28" i="3"/>
  <c r="C28" i="5" s="1"/>
  <c r="E28" i="5" s="1"/>
  <c r="J23" i="3"/>
  <c r="C23" i="5" s="1"/>
  <c r="E23" i="5" s="1"/>
  <c r="J3" i="3"/>
  <c r="C3" i="5" s="1"/>
  <c r="E3" i="5" s="1"/>
  <c r="J25" i="3"/>
  <c r="J15" i="3"/>
  <c r="C15" i="5" s="1"/>
  <c r="E15" i="5" s="1"/>
  <c r="J4" i="3"/>
  <c r="C4" i="5" s="1"/>
  <c r="E4" i="5" s="1"/>
  <c r="J24" i="3"/>
  <c r="C24" i="5" s="1"/>
  <c r="E24" i="5" s="1"/>
  <c r="J29" i="8"/>
  <c r="J10" i="8"/>
  <c r="J25" i="8"/>
  <c r="J20" i="8"/>
  <c r="J14" i="8"/>
  <c r="J13" i="8"/>
  <c r="J23" i="8"/>
  <c r="J15" i="8"/>
  <c r="J26" i="8"/>
  <c r="J30" i="8"/>
  <c r="J16" i="8"/>
  <c r="J24" i="8"/>
  <c r="J19" i="8"/>
  <c r="J18" i="8"/>
  <c r="J31" i="8"/>
  <c r="J5" i="8"/>
  <c r="J32" i="8"/>
  <c r="J8" i="8"/>
  <c r="J4" i="8"/>
  <c r="J21" i="8"/>
  <c r="J17" i="8"/>
  <c r="J6" i="8"/>
  <c r="J28" i="8"/>
  <c r="J33" i="8"/>
  <c r="J7" i="8"/>
  <c r="J9" i="8"/>
  <c r="J22" i="8"/>
  <c r="J3" i="8"/>
  <c r="J27" i="8"/>
  <c r="G3" i="1"/>
  <c r="C19" i="5"/>
  <c r="E19" i="5" s="1"/>
  <c r="C10" i="5"/>
  <c r="E10" i="5" s="1"/>
  <c r="C17" i="5"/>
  <c r="E17" i="5" s="1"/>
  <c r="C14" i="5"/>
  <c r="E14" i="5" s="1"/>
  <c r="C11" i="5"/>
  <c r="E11" i="5" s="1"/>
  <c r="C12" i="5"/>
  <c r="E12" i="5" s="1"/>
  <c r="C30" i="5" l="1"/>
  <c r="E30" i="5" s="1"/>
  <c r="C27" i="5"/>
  <c r="E27" i="5" s="1"/>
  <c r="C29" i="5"/>
  <c r="E29" i="5" s="1"/>
  <c r="C26" i="5"/>
  <c r="E26" i="5" s="1"/>
  <c r="C31" i="5"/>
  <c r="E31" i="5" s="1"/>
  <c r="C25" i="5"/>
  <c r="E25" i="5" s="1"/>
  <c r="G7" i="1"/>
  <c r="G6" i="1"/>
  <c r="E21" i="5"/>
  <c r="H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Luciano Segundo</author>
    <author/>
  </authors>
  <commentList>
    <comment ref="D4" authorId="0" shapeId="0" xr:uid="{3A99E29A-D162-4EDB-8EF9-F183417F4371}">
      <text>
        <r>
          <rPr>
            <b/>
            <sz val="9"/>
            <color indexed="81"/>
            <rFont val="Segoe UI"/>
            <family val="2"/>
          </rPr>
          <t>Luciano Segundo:</t>
        </r>
        <r>
          <rPr>
            <sz val="9"/>
            <color indexed="81"/>
            <rFont val="Segoe UI"/>
            <family val="2"/>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shapeId="0" xr:uid="{4F49D06F-0C2E-42D7-8F86-86EE268D8F61}">
      <text>
        <r>
          <rPr>
            <sz val="10"/>
            <color rgb="FF000000"/>
            <rFont val="Aptos Narrow"/>
            <scheme val="minor"/>
          </rPr>
          <t>Seu deslocamento é 12m (em vez de 9m).</t>
        </r>
      </text>
    </comment>
    <comment ref="D5" authorId="0" shapeId="0" xr:uid="{B9739F19-2CC6-44FC-A958-4F04F560A0A4}">
      <text>
        <r>
          <rPr>
            <b/>
            <sz val="9"/>
            <color indexed="81"/>
            <rFont val="Segoe UI"/>
            <family val="2"/>
          </rPr>
          <t>Luciano Segundo:</t>
        </r>
        <r>
          <rPr>
            <sz val="9"/>
            <color indexed="81"/>
            <rFont val="Segoe UI"/>
            <family val="2"/>
          </rPr>
          <t xml:space="preserve">
Invenção Potente - Quando usa um item fabricado por você mesmo, você pode pagar 1 PM para
aumentar em +2 a CD para resistir a ele.</t>
        </r>
      </text>
    </comment>
    <comment ref="L5" authorId="1" shapeId="0" xr:uid="{68A071B1-F532-488C-B2E5-14539AA92071}">
      <text>
        <r>
          <rPr>
            <sz val="10"/>
            <color rgb="FF000000"/>
            <rFont val="Aptos Narrow"/>
            <scheme val="minor"/>
          </rPr>
          <t>Você
recebe visão na penumbra e +2 em
Misticismo e Percepção.</t>
        </r>
      </text>
    </comment>
    <comment ref="D6" authorId="0" shapeId="0" xr:uid="{3EDC67E4-EFDA-4EB0-8CE0-BA25D15EBE44}">
      <text>
        <r>
          <rPr>
            <b/>
            <sz val="9"/>
            <color indexed="81"/>
            <rFont val="Segoe UI"/>
            <family val="2"/>
          </rPr>
          <t>Luciano Segundo:</t>
        </r>
        <r>
          <rPr>
            <sz val="9"/>
            <color indexed="81"/>
            <rFont val="Segoe UI"/>
            <family val="2"/>
          </rPr>
          <t xml:space="preserve">
Aumento de Atributo. Você recebe +2 em um
atributo a sua escolha. Você pode escolher este poder
várias vezes. A partir da segunda vez que escolhê-lo
para o mesmo atributo, o aumento diminui para +1.</t>
        </r>
      </text>
    </comment>
    <comment ref="L6" authorId="1" shapeId="0" xr:uid="{1DD2C77F-8EE8-4DF8-AF88-998081BB5027}">
      <text>
        <r>
          <rPr>
            <sz val="10"/>
            <color rgb="FF000000"/>
            <rFont val="Aptos Narrow"/>
            <scheme val="minor"/>
          </rPr>
          <t xml:space="preserve">Você recebe
+1 ponto de mana por nível.
</t>
        </r>
      </text>
    </comment>
    <comment ref="D7" authorId="0" shapeId="0" xr:uid="{51E33F2C-1683-44A8-BD1F-0E56009D6B22}">
      <text>
        <r>
          <rPr>
            <b/>
            <sz val="9"/>
            <color indexed="81"/>
            <rFont val="Segoe UI"/>
            <family val="2"/>
          </rPr>
          <t>Luciano Segundo:</t>
        </r>
        <r>
          <rPr>
            <sz val="9"/>
            <color indexed="81"/>
            <rFont val="Segoe UI"/>
            <family val="2"/>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7" authorId="0" shapeId="0" xr:uid="{1B485439-5A70-46ED-9E60-DF7CC941FDF3}">
      <text>
        <r>
          <rPr>
            <b/>
            <sz val="9"/>
            <color indexed="81"/>
            <rFont val="Segoe UI"/>
            <family val="2"/>
          </rPr>
          <t>Luciano Segundo:</t>
        </r>
        <r>
          <rPr>
            <sz val="9"/>
            <color indexed="81"/>
            <rFont val="Segoe UI"/>
            <family val="2"/>
          </rPr>
          <t xml:space="preserve">
Poder de Origem
A primeira criatura inteligente (Int 3 ou mais)
que atacar você em uma cena deve fazer um teste de
Vontade (CD Car). Se falhar, perderá sua ação. Este
poder só funciona uma vez por cena; independentemente de a criatura falhar ou não no teste, poderá
atacá-lo nas rodadas seguintes. Pré-requisito: Car 13.
</t>
        </r>
      </text>
    </comment>
    <comment ref="D8" authorId="0" shapeId="0" xr:uid="{397F055B-7E0A-4355-A698-216E13333EAC}">
      <text>
        <r>
          <rPr>
            <b/>
            <sz val="9"/>
            <color indexed="81"/>
            <rFont val="Segoe UI"/>
            <family val="2"/>
          </rPr>
          <t>Luciano Segundo:</t>
        </r>
        <r>
          <rPr>
            <sz val="9"/>
            <color indexed="81"/>
            <rFont val="Segoe UI"/>
            <family val="2"/>
          </rPr>
          <t xml:space="preserve">
Engenhoqueiro - Você pode fabricar engenhocas.
Veja as regras para isso na página 70. Pré-requisitos:
Int 17, treinado em Ofício (engenhoqueiro).</t>
        </r>
      </text>
    </comment>
    <comment ref="L8" authorId="0" shapeId="0" xr:uid="{D8B5500E-CDB3-4503-BD54-0DC7D201636C}">
      <text>
        <r>
          <rPr>
            <b/>
            <sz val="9"/>
            <color indexed="81"/>
            <rFont val="Segoe UI"/>
            <family val="2"/>
          </rPr>
          <t>Luciano Segundo:</t>
        </r>
        <r>
          <rPr>
            <sz val="9"/>
            <color indexed="81"/>
            <rFont val="Segoe UI"/>
            <family val="2"/>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shapeId="0" xr:uid="{A3AA87A4-0224-46B8-8837-6B711B76FB7E}">
      <text>
        <r>
          <rPr>
            <b/>
            <sz val="9"/>
            <color indexed="81"/>
            <rFont val="Segoe UI"/>
            <family val="2"/>
          </rPr>
          <t>Luciano Segundo:</t>
        </r>
        <r>
          <rPr>
            <sz val="9"/>
            <color indexed="81"/>
            <rFont val="Segoe UI"/>
            <family val="2"/>
          </rPr>
          <t xml:space="preserve">
Alquimista de Batalha. Quando usa um item
alquímico ou poção que cause dano, você soma seu
modificador de Inteligência na rolagem de dano.
Pré-requisito: Alquimista Iniciado.</t>
        </r>
      </text>
    </comment>
    <comment ref="D10" authorId="0" shapeId="0" xr:uid="{E990AA97-8908-4911-BCEF-9BFC7E74B12E}">
      <text>
        <r>
          <rPr>
            <b/>
            <sz val="9"/>
            <color indexed="81"/>
            <rFont val="Segoe UI"/>
            <family val="2"/>
          </rPr>
          <t>Luciano Segundo:</t>
        </r>
        <r>
          <rPr>
            <sz val="9"/>
            <color indexed="81"/>
            <rFont val="Segoe UI"/>
            <family val="2"/>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shapeId="0" xr:uid="{3F03A9A7-B672-4E54-B7AA-90E24B94C556}">
      <text>
        <r>
          <rPr>
            <b/>
            <sz val="9"/>
            <color indexed="81"/>
            <rFont val="Segoe UI"/>
            <family val="2"/>
          </rPr>
          <t>Luciano Segundo:</t>
        </r>
        <r>
          <rPr>
            <sz val="9"/>
            <color indexed="81"/>
            <rFont val="Segoe UI"/>
            <family val="2"/>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shapeId="0" xr:uid="{69B20ABB-BAE3-4D28-B6C7-DC81002EE566}">
      <text>
        <r>
          <rPr>
            <b/>
            <sz val="9"/>
            <color indexed="81"/>
            <rFont val="Segoe UI"/>
            <family val="2"/>
          </rPr>
          <t>Luciano Segundo:</t>
        </r>
        <r>
          <rPr>
            <sz val="9"/>
            <color indexed="81"/>
            <rFont val="Segoe UI"/>
            <family val="2"/>
          </rPr>
          <t xml:space="preserve">
Mestre Alquimista. Você pode fabricar poções
com fórmulas que conheça de qualquer círculo.
Pré-requisitos: Int 17, Sab 17, Alquimista Iniciado, 10º
nível de inventor.</t>
        </r>
      </text>
    </comment>
    <comment ref="D13" authorId="0" shapeId="0" xr:uid="{DF043448-9BC7-495F-AC89-998B519247B3}">
      <text>
        <r>
          <rPr>
            <b/>
            <sz val="9"/>
            <color indexed="81"/>
            <rFont val="Segoe UI"/>
            <family val="2"/>
          </rPr>
          <t>Luciano Segundo:</t>
        </r>
        <r>
          <rPr>
            <sz val="9"/>
            <color indexed="81"/>
            <rFont val="Segoe UI"/>
            <family val="2"/>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Luciano Segundo</author>
  </authors>
  <commentList>
    <comment ref="B3" authorId="0" shapeId="0" xr:uid="{679B63F6-E8B2-4C2C-A6E6-8D761BEE7A2A}">
      <text>
        <r>
          <rPr>
            <b/>
            <sz val="9"/>
            <color indexed="81"/>
            <rFont val="Segoe UI"/>
            <family val="2"/>
          </rPr>
          <t>Luciano Segundo:</t>
        </r>
        <r>
          <rPr>
            <sz val="9"/>
            <color indexed="81"/>
            <rFont val="Segoe UI"/>
            <family val="2"/>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shapeId="0" xr:uid="{CAFBBFDC-FBD3-456F-A70E-6B0909D1D0BB}">
      <text>
        <r>
          <rPr>
            <b/>
            <sz val="9"/>
            <color indexed="81"/>
            <rFont val="Segoe UI"/>
            <family val="2"/>
          </rPr>
          <t>Luciano Segundo:</t>
        </r>
        <r>
          <rPr>
            <sz val="9"/>
            <color indexed="81"/>
            <rFont val="Segoe UI"/>
            <family val="2"/>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shapeId="0" xr:uid="{6532C4FC-1848-40F0-8B07-4CE88A52187C}">
      <text>
        <r>
          <rPr>
            <b/>
            <sz val="9"/>
            <color indexed="81"/>
            <rFont val="Segoe UI"/>
            <family val="2"/>
          </rPr>
          <t>Luciano Segundo:</t>
        </r>
        <r>
          <rPr>
            <sz val="9"/>
            <color indexed="81"/>
            <rFont val="Segoe UI"/>
            <family val="2"/>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shapeId="0" xr:uid="{630B2CC5-019E-4AFD-85CD-BC144B9EF981}">
      <text>
        <r>
          <rPr>
            <b/>
            <sz val="9"/>
            <color indexed="81"/>
            <rFont val="Segoe UI"/>
            <family val="2"/>
          </rPr>
          <t>Luciano Segundo:</t>
        </r>
        <r>
          <rPr>
            <sz val="9"/>
            <color indexed="81"/>
            <rFont val="Segoe UI"/>
            <family val="2"/>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shapeId="0" xr:uid="{48A04260-F486-4B36-A7E6-5A3042A8D465}">
      <text>
        <r>
          <rPr>
            <b/>
            <sz val="9"/>
            <color indexed="81"/>
            <rFont val="Segoe UI"/>
            <family val="2"/>
          </rPr>
          <t>Luciano Segundo:</t>
        </r>
        <r>
          <rPr>
            <sz val="9"/>
            <color indexed="81"/>
            <rFont val="Segoe UI"/>
            <family val="2"/>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shapeId="0" xr:uid="{2F182E4E-EF73-461E-A5F0-F8BAFDDB2354}">
      <text>
        <r>
          <rPr>
            <b/>
            <sz val="9"/>
            <color indexed="81"/>
            <rFont val="Segoe UI"/>
            <family val="2"/>
          </rPr>
          <t>Luciano Segundo:</t>
        </r>
        <r>
          <rPr>
            <sz val="9"/>
            <color indexed="81"/>
            <rFont val="Segoe UI"/>
            <family val="2"/>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shapeId="0" xr:uid="{B4EBC950-743C-40BE-B79B-C073ED785DC5}">
      <text>
        <r>
          <rPr>
            <b/>
            <sz val="9"/>
            <color indexed="81"/>
            <rFont val="Segoe UI"/>
            <family val="2"/>
          </rPr>
          <t>Luciano Segundo:</t>
        </r>
        <r>
          <rPr>
            <sz val="9"/>
            <color indexed="81"/>
            <rFont val="Segoe UI"/>
            <family val="2"/>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shapeId="0" xr:uid="{E9C48AA7-38CE-4887-8CB2-BECD82571F58}">
      <text>
        <r>
          <rPr>
            <b/>
            <sz val="9"/>
            <color indexed="81"/>
            <rFont val="Segoe UI"/>
            <family val="2"/>
          </rPr>
          <t>Luciano Segundo:</t>
        </r>
        <r>
          <rPr>
            <sz val="9"/>
            <color indexed="81"/>
            <rFont val="Segoe UI"/>
            <family val="2"/>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shapeId="0" xr:uid="{19EA0BA7-62D7-4F00-BFA9-2903613BA483}">
      <text>
        <r>
          <rPr>
            <b/>
            <sz val="9"/>
            <color indexed="81"/>
            <rFont val="Segoe UI"/>
            <family val="2"/>
          </rPr>
          <t>Luciano Segundo:</t>
        </r>
        <r>
          <rPr>
            <sz val="9"/>
            <color indexed="81"/>
            <rFont val="Segoe UI"/>
            <family val="2"/>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shapeId="0" xr:uid="{9A25913D-0202-4A55-8D9F-36852695EAD2}">
      <text>
        <r>
          <rPr>
            <b/>
            <sz val="9"/>
            <color indexed="81"/>
            <rFont val="Segoe UI"/>
            <family val="2"/>
          </rPr>
          <t>Luciano Segundo:</t>
        </r>
        <r>
          <rPr>
            <sz val="9"/>
            <color indexed="81"/>
            <rFont val="Segoe UI"/>
            <family val="2"/>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shapeId="0" xr:uid="{5913D801-8BAE-4B13-B5F4-5400F8E5330C}">
      <text>
        <r>
          <rPr>
            <b/>
            <sz val="9"/>
            <color indexed="81"/>
            <rFont val="Segoe UI"/>
            <family val="2"/>
          </rPr>
          <t>Luciano Segundo:</t>
        </r>
        <r>
          <rPr>
            <sz val="9"/>
            <color indexed="81"/>
            <rFont val="Segoe UI"/>
            <family val="2"/>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shapeId="0" xr:uid="{3FBB2DD2-0AF8-4F81-BFFB-D2AB205C5E55}">
      <text>
        <r>
          <rPr>
            <b/>
            <sz val="9"/>
            <color indexed="81"/>
            <rFont val="Segoe UI"/>
            <family val="2"/>
          </rPr>
          <t>Luciano Segundo:</t>
        </r>
        <r>
          <rPr>
            <sz val="9"/>
            <color indexed="81"/>
            <rFont val="Segoe UI"/>
            <family val="2"/>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shapeId="0" xr:uid="{E20B3407-903A-42DD-AD73-5014FCD030CB}">
      <text>
        <r>
          <rPr>
            <b/>
            <sz val="9"/>
            <color indexed="81"/>
            <rFont val="Segoe UI"/>
            <family val="2"/>
          </rPr>
          <t>Luciano Segundo:</t>
        </r>
        <r>
          <rPr>
            <sz val="9"/>
            <color indexed="81"/>
            <rFont val="Segoe UI"/>
            <family val="2"/>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shapeId="0" xr:uid="{79B27005-A674-4A5E-BB82-4832DEFC7400}">
      <text>
        <r>
          <rPr>
            <b/>
            <sz val="9"/>
            <color indexed="81"/>
            <rFont val="Segoe UI"/>
            <family val="2"/>
          </rPr>
          <t>Luciano Segundo:</t>
        </r>
        <r>
          <rPr>
            <sz val="9"/>
            <color indexed="81"/>
            <rFont val="Segoe UI"/>
            <family val="2"/>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<sst xmlns="http://schemas.openxmlformats.org/spreadsheetml/2006/main" count="534" uniqueCount="171">
  <si>
    <t>Atributos</t>
  </si>
  <si>
    <t>HP</t>
  </si>
  <si>
    <t>PM</t>
  </si>
  <si>
    <t>FOR</t>
  </si>
  <si>
    <t>DES</t>
  </si>
  <si>
    <t>INT</t>
  </si>
  <si>
    <t>SAB</t>
  </si>
  <si>
    <t>CAR</t>
  </si>
  <si>
    <t>MOD</t>
  </si>
  <si>
    <t>Nível</t>
  </si>
  <si>
    <t>DEF</t>
  </si>
  <si>
    <t>Procentagem</t>
  </si>
  <si>
    <t>CON</t>
  </si>
  <si>
    <t>Equipamento</t>
  </si>
  <si>
    <t>Armadura de Couro</t>
  </si>
  <si>
    <t>Armaduras</t>
  </si>
  <si>
    <t>Item</t>
  </si>
  <si>
    <t>Bônus</t>
  </si>
  <si>
    <t>Penalidade</t>
  </si>
  <si>
    <t>Peso</t>
  </si>
  <si>
    <t>7kg</t>
  </si>
  <si>
    <t>Armadura</t>
  </si>
  <si>
    <t>Arma</t>
  </si>
  <si>
    <t>Dano</t>
  </si>
  <si>
    <t>Especial</t>
  </si>
  <si>
    <t>Armas</t>
  </si>
  <si>
    <t>Crítico</t>
  </si>
  <si>
    <t>Ataque Desarmado</t>
  </si>
  <si>
    <t>Perícia</t>
  </si>
  <si>
    <t>Treinada?</t>
  </si>
  <si>
    <t>Total</t>
  </si>
  <si>
    <t>1/2 Nível</t>
  </si>
  <si>
    <t>Poderes</t>
  </si>
  <si>
    <t>Nível 1</t>
  </si>
  <si>
    <t>Nível 2</t>
  </si>
  <si>
    <t>Nível 3</t>
  </si>
  <si>
    <t>Nível 4</t>
  </si>
  <si>
    <t>Nível 5</t>
  </si>
  <si>
    <t>Nível 6</t>
  </si>
  <si>
    <t>Nível 7</t>
  </si>
  <si>
    <t>Nível 8</t>
  </si>
  <si>
    <t>Nível 9</t>
  </si>
  <si>
    <t>Nível 10</t>
  </si>
  <si>
    <t>Somente Treinada?</t>
  </si>
  <si>
    <t>Penalidade de Armadura?</t>
  </si>
  <si>
    <t>Acrobacia</t>
  </si>
  <si>
    <t>Des</t>
  </si>
  <si>
    <t>—</t>
  </si>
  <si>
    <t>sim</t>
  </si>
  <si>
    <t>Adestramento</t>
  </si>
  <si>
    <t>Car</t>
  </si>
  <si>
    <t>Atletismo</t>
  </si>
  <si>
    <t>For</t>
  </si>
  <si>
    <t>Atuação</t>
  </si>
  <si>
    <t>Cavalgar</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</si>
  <si>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</si>
  <si>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</si>
  <si>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</si>
  <si>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</si>
  <si>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</si>
  <si>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</si>
  <si>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</si>
  <si>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</si>
  <si>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</si>
  <si>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</si>
  <si>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</si>
  <si>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</si>
  <si>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</si>
  <si>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</si>
  <si>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</si>
  <si>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</si>
  <si>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Luta</t>
  </si>
  <si>
    <t>Misticismo</t>
  </si>
  <si>
    <t>Nobreza</t>
  </si>
  <si>
    <t>Percepção</t>
  </si>
  <si>
    <t>Pilotagem</t>
  </si>
  <si>
    <t>Pontaria</t>
  </si>
  <si>
    <t>Reflexos</t>
  </si>
  <si>
    <t>Religião</t>
  </si>
  <si>
    <t>Sobrevivência</t>
  </si>
  <si>
    <t>Vontade</t>
  </si>
  <si>
    <t>ATR</t>
  </si>
  <si>
    <t>Treino</t>
  </si>
  <si>
    <t>Bônus Treino</t>
  </si>
  <si>
    <t>Nível 15</t>
  </si>
  <si>
    <t>Nível 11</t>
  </si>
  <si>
    <t>Nível 12</t>
  </si>
  <si>
    <t>Nível 13</t>
  </si>
  <si>
    <t>Nível 14</t>
  </si>
  <si>
    <t>Nível 16</t>
  </si>
  <si>
    <t>Nível 17</t>
  </si>
  <si>
    <t>Nível 18</t>
  </si>
  <si>
    <t>Nível 19</t>
  </si>
  <si>
    <t>Nível 20</t>
  </si>
  <si>
    <t>Grana</t>
  </si>
  <si>
    <t>EXP</t>
  </si>
  <si>
    <t>Velocidade</t>
  </si>
  <si>
    <t>Raça</t>
  </si>
  <si>
    <t>Turnos</t>
  </si>
  <si>
    <t>Descrição</t>
  </si>
  <si>
    <t>Ações</t>
  </si>
  <si>
    <t>Status Anteriores</t>
  </si>
  <si>
    <t>Nível de Personagem</t>
  </si>
  <si>
    <t>Pontos de Experiência</t>
  </si>
  <si>
    <t>Bônus em Perícias</t>
  </si>
  <si>
    <t>Teste</t>
  </si>
  <si>
    <t>D20</t>
  </si>
  <si>
    <t>Block</t>
  </si>
  <si>
    <t>Contra-ataque</t>
  </si>
  <si>
    <t>Bônus Habilidade</t>
  </si>
  <si>
    <t>ATR Base</t>
  </si>
  <si>
    <t>ATR Alterações</t>
  </si>
  <si>
    <t>1d4</t>
  </si>
  <si>
    <t>x2</t>
  </si>
  <si>
    <t>Ofício (Engenhoqueiro)</t>
  </si>
  <si>
    <t>Ofício (Alquimista)</t>
  </si>
  <si>
    <t>Ofício (Armeiro)</t>
  </si>
  <si>
    <t>Mana P/nv</t>
  </si>
  <si>
    <t>PV classe</t>
  </si>
  <si>
    <t>PM classe</t>
  </si>
  <si>
    <t>PM raça</t>
  </si>
  <si>
    <t>PV P/nv</t>
  </si>
  <si>
    <t>não</t>
  </si>
  <si>
    <t>Itens</t>
  </si>
  <si>
    <t>Coleção de livros</t>
  </si>
  <si>
    <t>+1 Guerra</t>
  </si>
  <si>
    <t>Aparência inofensiva</t>
  </si>
  <si>
    <t>Voz da Civilização</t>
  </si>
  <si>
    <t>Alquimista iniciado</t>
  </si>
  <si>
    <t>Síntese Rápida</t>
  </si>
  <si>
    <t>Engenhoqueiro</t>
  </si>
  <si>
    <t>Invenção Potente</t>
  </si>
  <si>
    <t>Armeiro</t>
  </si>
  <si>
    <t>Mestre Alquimista</t>
  </si>
  <si>
    <t>PI</t>
  </si>
  <si>
    <t>Engenhosidade, protótipo</t>
  </si>
  <si>
    <t>Magia</t>
  </si>
  <si>
    <t>Círculo</t>
  </si>
  <si>
    <t>Custo</t>
  </si>
  <si>
    <t>Custo Círculo</t>
  </si>
  <si>
    <t>Curar Ferimentos</t>
  </si>
  <si>
    <t>Tipo</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</si>
  <si>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</si>
  <si>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</si>
  <si>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</si>
  <si>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</si>
  <si>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</si>
  <si>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</si>
  <si>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</si>
  <si>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</si>
  <si>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</si>
  <si>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</si>
  <si>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</si>
  <si>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</si>
  <si>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</si>
  <si>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Aracana</t>
  </si>
  <si>
    <t>Transformação de Guerra</t>
  </si>
  <si>
    <t>Alquimista de Batalha</t>
  </si>
  <si>
    <t>Granadeiro</t>
  </si>
  <si>
    <t>Aumento de Atributo</t>
  </si>
  <si>
    <t>Bônus Raça</t>
  </si>
  <si>
    <t>Aumento ATR</t>
  </si>
  <si>
    <t>Origem</t>
  </si>
  <si>
    <t>Divindade</t>
  </si>
  <si>
    <t>Poder</t>
  </si>
  <si>
    <t>Graça de Glorien</t>
  </si>
  <si>
    <t>Sentidos Elficos</t>
  </si>
  <si>
    <t>Herança Férica</t>
  </si>
  <si>
    <t>Outros Poderes</t>
  </si>
  <si>
    <t>Magia Ilimitada</t>
  </si>
  <si>
    <t>PNA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</si>
</sst>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b/>
      <sz val="7.5"/>
      <color rgb="FF231F20"/>
      <name val="Palatino Linotype"/>
      <family val="1"/>
    </font>
    <font>
      <b/>
      <sz val="10"/>
      <color rgb="FF231F20"/>
      <name val="Palatino Linotype"/>
      <family val="1"/>
    </font>
    <font>
      <sz val="9"/>
      <color indexed="81"/>
      <name val="Segoe UI"/>
      <family val="2"/>
    </font>
    <font>
      <b/>
      <sz val="9"/>
      <color indexed="81"/>
      <name val="Segoe UI"/>
      <family val="2"/>
    </font>
    <font>
      <sz val="9"/>
      <color rgb="FF231F20"/>
      <name val="Palatino Linotype"/>
      <family val="1"/>
    </font>
    <font>
      <b/>
      <sz val="9"/>
      <color rgb="FF231F20"/>
      <name val="Palatino Linotype"/>
      <family val="1"/>
    </font>
    <font>
      <sz val="10"/>
      <color rgb="FF000000"/>
      <name val="Aptos Narrow"/>
      <scheme val="minor"/>
    </font>
  </fonts>
  <fills count="4">
    <fill>
      <patternFill patternType="none"/>
    </fill>
    <fill>
      <patternFill patternType="gray125"/>
    </fill>
    <fill>
      <patternFill patternType="solid">
        <fgColor rgb="FFD7CFCB"/>
        <bgColor indexed="64"/>
      </patternFill>
    </fill>
    <fill>
      <patternFill patternType="solid">
        <fgColor theme="0"/>
        <bgColor indexed="64"/>
      </patternFill>
    </fill>
  </fills>
  <borders count="35">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n">
        <color rgb="FF505050"/>
      </left>
      <right style="thick">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n">
        <color rgb="FF505050"/>
      </top>
      <bottom style="thick">
        <color rgb="FF505050"/>
      </bottom>
      <diagonal/>
    </border>
  </borders>
  <cellStyleXfs count="1">
    <xf numFmtId="0" fontId="0" fillId="0" borderId="0"/>
  </cellStyleXfs>
  <cellXfs count="102">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5" xfId="0" applyFont="1" applyBorder="1" applyAlignment="1">
      <alignment horizontal="center" vertical="center"/>
    </xf>
    <xf numFmtId="3" fontId="6" fillId="2" borderId="4" xfId="0" applyNumberFormat="1" applyFont="1" applyFill="1" applyBorder="1" applyAlignment="1">
      <alignment horizontal="center" vertical="center"/>
    </xf>
    <xf numFmtId="0" fontId="6" fillId="2" borderId="5" xfId="0" applyFont="1" applyFill="1" applyBorder="1" applyAlignment="1">
      <alignment horizontal="center" vertical="center"/>
    </xf>
    <xf numFmtId="3" fontId="6" fillId="0" borderId="4" xfId="0" applyNumberFormat="1" applyFont="1" applyBorder="1" applyAlignment="1">
      <alignment horizontal="center" vertical="center"/>
    </xf>
    <xf numFmtId="3" fontId="6" fillId="2" borderId="7" xfId="0" applyNumberFormat="1" applyFont="1" applyFill="1" applyBorder="1" applyAlignment="1">
      <alignment horizontal="center" vertical="center"/>
    </xf>
    <xf numFmtId="0" fontId="6"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15"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5"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3"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0" fontId="3" fillId="2" borderId="5" xfId="0" applyNumberFormat="1" applyFont="1" applyFill="1" applyBorder="1" applyAlignment="1">
      <alignment horizontal="center" vertical="center" wrapText="1"/>
    </xf>
    <xf numFmtId="10" fontId="3" fillId="2" borderId="6" xfId="0" applyNumberFormat="1"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3" fillId="2" borderId="11" xfId="0" quotePrefix="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6" xfId="0" applyFont="1" applyFill="1" applyBorder="1" applyAlignment="1">
      <alignment vertical="center"/>
    </xf>
    <xf numFmtId="0" fontId="3" fillId="2" borderId="27" xfId="0" applyFont="1" applyFill="1" applyBorder="1" applyAlignment="1">
      <alignment vertical="center"/>
    </xf>
    <xf numFmtId="0" fontId="3" fillId="2" borderId="28" xfId="0" applyFont="1" applyFill="1" applyBorder="1" applyAlignment="1">
      <alignment vertical="center"/>
    </xf>
    <xf numFmtId="0" fontId="6" fillId="3" borderId="29" xfId="0" applyFont="1" applyFill="1" applyBorder="1" applyAlignment="1">
      <alignment vertical="center" wrapText="1"/>
    </xf>
    <xf numFmtId="0" fontId="6" fillId="3" borderId="30" xfId="0" applyFont="1" applyFill="1" applyBorder="1" applyAlignment="1">
      <alignment vertical="center"/>
    </xf>
    <xf numFmtId="0" fontId="6" fillId="3" borderId="30" xfId="0" applyFont="1" applyFill="1" applyBorder="1" applyAlignment="1">
      <alignment vertical="center" wrapText="1"/>
    </xf>
    <xf numFmtId="0" fontId="6" fillId="3" borderId="31" xfId="0" applyFont="1" applyFill="1" applyBorder="1" applyAlignment="1">
      <alignment vertical="center" wrapText="1"/>
    </xf>
    <xf numFmtId="0" fontId="3" fillId="2" borderId="29" xfId="0" applyFont="1" applyFill="1" applyBorder="1" applyAlignment="1">
      <alignment vertical="center"/>
    </xf>
    <xf numFmtId="0" fontId="3" fillId="2" borderId="30" xfId="0" applyFont="1" applyFill="1" applyBorder="1" applyAlignment="1">
      <alignment vertical="center"/>
    </xf>
    <xf numFmtId="0" fontId="3" fillId="2" borderId="31" xfId="0" applyFont="1" applyFill="1" applyBorder="1" applyAlignment="1">
      <alignment vertical="center"/>
    </xf>
    <xf numFmtId="0" fontId="6" fillId="3" borderId="32" xfId="0" applyFont="1" applyFill="1" applyBorder="1" applyAlignment="1">
      <alignment vertical="center" wrapText="1"/>
    </xf>
    <xf numFmtId="0" fontId="6" fillId="3" borderId="33" xfId="0" applyFont="1" applyFill="1" applyBorder="1" applyAlignment="1">
      <alignment vertical="center" wrapText="1"/>
    </xf>
    <xf numFmtId="0" fontId="6" fillId="3" borderId="34" xfId="0" applyFont="1" applyFill="1" applyBorder="1" applyAlignment="1">
      <alignment vertical="center" wrapText="1"/>
    </xf>
  </cellXfs>
  <cellStyles count="1">
    <cellStyle name="Normal" xfId="0" builtinId="0"/>
  </cellStyles>
  <dxfs count="42">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ck">
          <color rgb="FF000000"/>
        </left>
        <right style="thick">
          <color rgb="FF000000"/>
        </right>
        <top style="thick">
          <color rgb="FF000000"/>
        </top>
        <bottom style="thick">
          <color rgb="FF000000"/>
        </bottom>
      </border>
    </dxf>
    <dxf>
      <font>
        <b val="0"/>
        <i val="0"/>
        <strike val="0"/>
        <condense val="0"/>
        <extend val="0"/>
        <outline val="0"/>
        <shadow val="0"/>
        <u val="none"/>
        <vertAlign val="baseline"/>
        <sz val="9"/>
        <color rgb="FF231F20"/>
        <name val="Palatino Linotype"/>
        <family val="1"/>
        <scheme val="none"/>
      </font>
      <fill>
        <patternFill patternType="solid">
          <fgColor rgb="FF000000"/>
          <bgColor rgb="FFFFFFFF"/>
        </patternFill>
      </fill>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ck">
          <color indexed="64"/>
        </left>
        <right style="thick">
          <color indexed="64"/>
        </right>
        <top style="thick">
          <color indexed="64"/>
        </top>
        <bottom style="thick">
          <color indexed="64"/>
        </bottom>
      </border>
    </dxf>
    <dxf>
      <border outline="0">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B94BB-993F-46E0-8D20-25D8B8DFC9D2}" name="Tabela2" displayName="Tabela2" ref="B2:E35" totalsRowShown="0" headerRowDxfId="41" headerRowBorderDxfId="40" tableBorderDxfId="39" totalsRowBorderDxfId="38">
  <autoFilter ref="B2:E35" xr:uid="{341B94BB-993F-46E0-8D20-25D8B8DFC9D2}"/>
  <tableColumns count="4">
    <tableColumn id="1" xr3:uid="{D1894870-874E-4AAD-A247-ECC662F48358}" name="Magia" dataDxfId="37"/>
    <tableColumn id="4" xr3:uid="{E9C52482-94DF-400D-B27D-3BB0A2CD6FB4}" name="Tipo" dataDxfId="36"/>
    <tableColumn id="2" xr3:uid="{79E6BF69-750F-4120-9C22-CBF48EC98822}" name="Círculo" dataDxfId="35"/>
    <tableColumn id="3" xr3:uid="{13264AB4-FFD5-4BB3-BAD2-D832AAF7A08F}" name="Custo" dataDxfId="34">
      <calculatedColumnFormula>IFERROR(VLOOKUP(D3,$G$3:$H$7,2,FALSE)^2*10,"")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38B72-5BEC-4A97-A0DA-A810BF14F697}" name="Tabela1" displayName="Tabela1" ref="B2:M33" totalsRowShown="0" headerRowDxfId="33" dataDxfId="31" headerRowBorderDxfId="32" tableBorderDxfId="30" totalsRowBorderDxfId="29">
  <autoFilter ref="B2:M33" xr:uid="{E9B38B72-5BEC-4A97-A0DA-A810BF14F697}"/>
  <sortState xmlns:xlrd2="http://schemas.microsoft.com/office/spreadsheetml/2017/richdata2" ref="B3:M33">
    <sortCondition ref="B2:B33"/>
  </sortState>
  <tableColumns count="12">
    <tableColumn id="1" xr3:uid="{35823DB3-F1AE-4CDE-BCEB-3F67A161199D}" name="Perícia" dataDxfId="28"/>
    <tableColumn id="11" xr3:uid="{71D30AF6-6ECB-4DCC-B970-0C8671D1D99E}" name="ATR" dataDxfId="27"/>
    <tableColumn id="2" xr3:uid="{F48A0B7A-BF4E-4E96-855A-EF5F80CD02AF}" name="MOD" dataDxfId="26">
      <calculatedColumnFormula>VLOOKUP(C3,Ligma!$B$3:$D$8,3,FALSE)</calculatedColumnFormula>
    </tableColumn>
    <tableColumn id="3" xr3:uid="{A5C55ADC-017F-4BF3-96EE-DA8B584D4A98}" name="1/2 Nível" dataDxfId="25">
      <calculatedColumnFormula>VLOOKUP(Ligma!$G$2,'uns dados aí'!$I$3:$J$22,2,FALSE)</calculatedColumnFormula>
    </tableColumn>
    <tableColumn id="4" xr3:uid="{271DCFED-97F3-476E-9BF9-01CA669D22C9}" name="Treino" dataDxfId="24">
      <calculatedColumnFormula>IF(Tabela1[[#This Row],[Treinada?]]="sim",VLOOKUP(Ligma!$G$2,'uns dados aí'!$E$2:$F$4,2,TRUE),"")</calculatedColumnFormula>
    </tableColumn>
    <tableColumn id="10" xr3:uid="{0597BDAA-ECFD-4424-8BC9-0A2726873A2D}" name="Raça" dataDxfId="23"/>
    <tableColumn id="5" xr3:uid="{DC4DD309-E0D5-4BFA-B599-712B0D96915F}" name="Bônus" dataDxfId="22"/>
    <tableColumn id="9" xr3:uid="{4B403395-1BD1-4EED-8C7D-DFC601AD6CFC}" name="Bônus Habilidade" dataDxfId="21"/>
    <tableColumn id="6" xr3:uid="{FA043140-F4F5-450A-8642-B2838683E293}" name="Total" dataDxfId="0">
      <calculatedColumnFormula>SUM(Tabela1[[#This Row],[MOD]:[Bônus Habilidade]])-IF(Tabela1[[#This Row],[Penalidade de Armadura?]]="sim",Ligma!$D$16,0)</calculatedColumnFormula>
    </tableColumn>
    <tableColumn id="7" xr3:uid="{32CFEA9E-CDB7-467A-9741-E969780B88CF}" name="Treinada?" dataDxfId="20"/>
    <tableColumn id="12" xr3:uid="{4D510E34-D284-49F1-9685-C49F70168A12}" name="Somente Treinada?" dataDxfId="19"/>
    <tableColumn id="8" xr3:uid="{DA0D8D90-A3BF-4F51-8AAE-F48C1576B17E}" name="Penalidade de Armadura?"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C4D9DD-A352-4A98-A4EA-69024F44BE5F}" name="Tabela14" displayName="Tabela14" ref="B2:M33" totalsRowShown="0" headerRowDxfId="17" dataDxfId="15" headerRowBorderDxfId="16" tableBorderDxfId="14" totalsRowBorderDxfId="13">
  <autoFilter ref="B2:M33" xr:uid="{E9B38B72-5BEC-4A97-A0DA-A810BF14F697}"/>
  <sortState xmlns:xlrd2="http://schemas.microsoft.com/office/spreadsheetml/2017/richdata2" ref="B3:M33">
    <sortCondition ref="B2:B33"/>
  </sortState>
  <tableColumns count="12">
    <tableColumn id="1" xr3:uid="{519E1489-C314-4404-A0DD-09AC6888B0FF}" name="Perícia" dataDxfId="12"/>
    <tableColumn id="11" xr3:uid="{F57CB9B5-4E42-4252-9D3F-1268826FED7D}" name="ATR" dataDxfId="11"/>
    <tableColumn id="2" xr3:uid="{729B8C64-280C-4BDA-B1DA-7008359BC959}" name="MOD" dataDxfId="10">
      <calculatedColumnFormula>VLOOKUP(C3,Ligma!$B$3:$D$8,3,FALSE)</calculatedColumnFormula>
    </tableColumn>
    <tableColumn id="3" xr3:uid="{B2896C73-B008-4753-B047-CBF5947F4947}" name="1/2 Nível" dataDxfId="9">
      <calculatedColumnFormula>VLOOKUP(Ligma!$G$2,'uns dados aí'!$I$3:$J$22,2,FALSE)</calculatedColumnFormula>
    </tableColumn>
    <tableColumn id="4" xr3:uid="{0461CFF1-B44B-490B-9AB9-D95DD1510414}" name="Treino" dataDxfId="8">
      <calculatedColumnFormula>IF(Tabela14[[#This Row],[Treinada?]]="sim",VLOOKUP(Ligma!$G$2,'uns dados aí'!$E$2:$F$4,2,TRUE),"")</calculatedColumnFormula>
    </tableColumn>
    <tableColumn id="10" xr3:uid="{9329C84C-824D-4447-A7CA-425033AD5947}" name="Raça" dataDxfId="7"/>
    <tableColumn id="5" xr3:uid="{9B28FA64-F7B3-4CAF-8C77-540A15A93184}" name="Bônus" dataDxfId="6"/>
    <tableColumn id="9" xr3:uid="{5C865FA7-8036-4B5F-92C5-F4866E4A2409}" name="Bônus Habilidade" dataDxfId="5"/>
    <tableColumn id="6" xr3:uid="{B65AFDB5-6A6F-4BE3-ADB2-9497F98B9FC3}" name="Total" dataDxfId="4">
      <calculatedColumnFormula>SUM(Tabela14[[#This Row],[MOD]:[Bônus Habilidade]])-IF(Tabela14[[#This Row],[Penalidade de Armadura?]]="sim",Ligma!D16,0)</calculatedColumnFormula>
    </tableColumn>
    <tableColumn id="7" xr3:uid="{79CD8B55-E5C5-4C34-A4BF-7D04F218CCEF}" name="Treinada?" dataDxfId="3"/>
    <tableColumn id="12" xr3:uid="{59ADF3CE-A6A5-4C36-A35C-28B49FE674B9}" name="Somente Treinada?" dataDxfId="2"/>
    <tableColumn id="8" xr3:uid="{F4A691E7-DE8B-4B5A-92F4-6623CB4C3A63}" name="Penalidade de Armadura?" dataDxfId="1"/>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E24-4638-4394-AA75-6D064ADBD3D9}">
  <dimension ref="B1:N41"/>
  <sheetViews>
    <sheetView tabSelected="1" zoomScale="130" zoomScaleNormal="130" workbookViewId="0">
      <selection activeCell="H20" sqref="H20"/>
    </sheetView>
  </sheetViews>
  <sheetFormatPr defaultRowHeight="15" x14ac:dyDescent="0.25"/>
  <cols>
    <col min="2" max="2" width="12.42578125" bestFit="1" customWidth="1"/>
    <col min="3" max="3" width="6.140625" bestFit="1" customWidth="1"/>
    <col min="4" max="4" width="13.28515625" customWidth="1"/>
    <col min="6" max="6" width="14.5703125" customWidth="1"/>
    <col min="7" max="7" width="7.85546875" customWidth="1"/>
    <col min="8" max="8" width="7.85546875" bestFit="1" customWidth="1"/>
    <col min="9" max="9" width="6" bestFit="1" customWidth="1"/>
    <col min="11" max="11" width="16" bestFit="1" customWidth="1"/>
    <col min="14" max="14" width="36.42578125" customWidth="1"/>
  </cols>
  <sheetData>
    <row r="1" spans="2:14" ht="15.75" thickBot="1" x14ac:dyDescent="0.3"/>
    <row r="2" spans="2:14" ht="15.75" customHeight="1" thickTop="1" x14ac:dyDescent="0.25">
      <c r="B2" s="61" t="s">
        <v>0</v>
      </c>
      <c r="C2" s="62"/>
      <c r="D2" s="3" t="s">
        <v>8</v>
      </c>
      <c r="F2" s="2" t="s">
        <v>9</v>
      </c>
      <c r="G2" s="62">
        <f>VLOOKUP(G10,'uns dados aí'!$H$2:$I$22,2,TRUE)</f>
        <v>10</v>
      </c>
      <c r="H2" s="72"/>
      <c r="K2" s="61" t="s">
        <v>100</v>
      </c>
      <c r="L2" s="62"/>
      <c r="M2" s="62"/>
      <c r="N2" s="72"/>
    </row>
    <row r="3" spans="2:14" x14ac:dyDescent="0.25">
      <c r="B3" s="21" t="s">
        <v>3</v>
      </c>
      <c r="C3" s="16">
        <f>'uns dados aí'!C3+(VLOOKUP(B3,Perícias!$O$7:$P$13,2,FALSE))</f>
        <v>14</v>
      </c>
      <c r="D3" s="22">
        <f>ROUNDDOWN((C3-10)/2,0)</f>
        <v>2</v>
      </c>
      <c r="F3" s="21" t="s">
        <v>1</v>
      </c>
      <c r="G3" s="16">
        <f>H3-L25-SUM(L4:L22)</f>
        <v>49</v>
      </c>
      <c r="H3" s="22">
        <f>'uns dados aí'!M2+((G2-1)*'uns dados aí'!C12)</f>
        <v>49</v>
      </c>
      <c r="K3" s="21" t="s">
        <v>98</v>
      </c>
      <c r="L3" s="16" t="s">
        <v>1</v>
      </c>
      <c r="M3" s="16" t="s">
        <v>2</v>
      </c>
      <c r="N3" s="22" t="s">
        <v>99</v>
      </c>
    </row>
    <row r="4" spans="2:14" x14ac:dyDescent="0.25">
      <c r="B4" s="4" t="s">
        <v>4</v>
      </c>
      <c r="C4" s="5">
        <f>'uns dados aí'!C4+(VLOOKUP(B4,Perícias!$O$7:$P$13,2,FALSE))</f>
        <v>17</v>
      </c>
      <c r="D4" s="6">
        <f>ROUNDDOWN((C4-10)/2,0)</f>
        <v>3</v>
      </c>
      <c r="F4" s="4" t="s">
        <v>2</v>
      </c>
      <c r="G4" s="5">
        <f>H4-L26-SUM(M4:M22)</f>
        <v>50</v>
      </c>
      <c r="H4" s="6">
        <f>'uns dados aí'!C13*G2</f>
        <v>50</v>
      </c>
      <c r="K4" s="4">
        <v>1</v>
      </c>
      <c r="L4" s="5"/>
      <c r="M4" s="5"/>
      <c r="N4" s="6"/>
    </row>
    <row r="5" spans="2:14" x14ac:dyDescent="0.25">
      <c r="B5" s="21" t="s">
        <v>12</v>
      </c>
      <c r="C5" s="16">
        <f>'uns dados aí'!C5+(VLOOKUP(B5,Perícias!$O$7:$P$13,2,FALSE))</f>
        <v>13</v>
      </c>
      <c r="D5" s="22">
        <f>ROUNDDOWN((C5-10)/2,0)</f>
        <v>1</v>
      </c>
      <c r="F5" s="21" t="s">
        <v>10</v>
      </c>
      <c r="G5" s="68">
        <f>10+D4+C16</f>
        <v>15</v>
      </c>
      <c r="H5" s="69"/>
      <c r="K5" s="21">
        <v>2</v>
      </c>
      <c r="L5" s="16"/>
      <c r="M5" s="16"/>
      <c r="N5" s="22"/>
    </row>
    <row r="6" spans="2:14" x14ac:dyDescent="0.25">
      <c r="B6" s="4" t="s">
        <v>5</v>
      </c>
      <c r="C6" s="5">
        <f>'uns dados aí'!C6+(VLOOKUP(B6,Perícias!$O$7:$P$13,2,FALSE))</f>
        <v>22</v>
      </c>
      <c r="D6" s="6">
        <f>ROUNDDOWN((C6-10)/2,0)</f>
        <v>6</v>
      </c>
      <c r="F6" s="4" t="s">
        <v>107</v>
      </c>
      <c r="G6" s="70">
        <f>G5+Perícias!J12</f>
        <v>21</v>
      </c>
      <c r="H6" s="71"/>
      <c r="K6" s="4">
        <v>3</v>
      </c>
      <c r="L6" s="5"/>
      <c r="M6" s="5"/>
      <c r="N6" s="6"/>
    </row>
    <row r="7" spans="2:14" x14ac:dyDescent="0.25">
      <c r="B7" s="21" t="s">
        <v>6</v>
      </c>
      <c r="C7" s="16">
        <f>'uns dados aí'!C7+(VLOOKUP(B7,Perícias!$O$7:$P$13,2,FALSE))</f>
        <v>18</v>
      </c>
      <c r="D7" s="22">
        <f>ROUNDDOWN((C7-10)/2,0)</f>
        <v>4</v>
      </c>
      <c r="F7" s="21" t="s">
        <v>108</v>
      </c>
      <c r="G7" s="68">
        <f>Perícias!J27+Perícias!J21</f>
        <v>26</v>
      </c>
      <c r="H7" s="69"/>
      <c r="K7" s="21">
        <v>4</v>
      </c>
      <c r="L7" s="16"/>
      <c r="M7" s="16"/>
      <c r="N7" s="22"/>
    </row>
    <row r="8" spans="2:14" ht="15.75" thickBot="1" x14ac:dyDescent="0.3">
      <c r="B8" s="12" t="s">
        <v>7</v>
      </c>
      <c r="C8" s="13">
        <f>'uns dados aí'!C8+(VLOOKUP(B8,Perícias!$O$7:$P$13,2,FALSE))</f>
        <v>16</v>
      </c>
      <c r="D8" s="14">
        <f>ROUNDDOWN((C8-10)/2,0)</f>
        <v>3</v>
      </c>
      <c r="F8" s="4" t="s">
        <v>11</v>
      </c>
      <c r="G8" s="76">
        <v>0.5</v>
      </c>
      <c r="H8" s="77"/>
      <c r="K8" s="4">
        <v>5</v>
      </c>
      <c r="L8" s="5"/>
      <c r="M8" s="5"/>
      <c r="N8" s="6"/>
    </row>
    <row r="9" spans="2:14" ht="15.75" thickTop="1" x14ac:dyDescent="0.25">
      <c r="F9" s="21" t="s">
        <v>94</v>
      </c>
      <c r="G9" s="57"/>
      <c r="H9" s="73"/>
      <c r="K9" s="21">
        <v>6</v>
      </c>
      <c r="L9" s="16"/>
      <c r="M9" s="16"/>
      <c r="N9" s="22"/>
    </row>
    <row r="10" spans="2:14" ht="15.75" thickBot="1" x14ac:dyDescent="0.3">
      <c r="F10" s="12" t="s">
        <v>95</v>
      </c>
      <c r="G10" s="74">
        <v>45000</v>
      </c>
      <c r="H10" s="75"/>
      <c r="K10" s="4">
        <v>7</v>
      </c>
      <c r="L10" s="5"/>
      <c r="M10" s="5"/>
      <c r="N10" s="6"/>
    </row>
    <row r="11" spans="2:14" ht="16.5" thickTop="1" thickBot="1" x14ac:dyDescent="0.3">
      <c r="K11" s="21">
        <v>8</v>
      </c>
      <c r="L11" s="16"/>
      <c r="M11" s="16"/>
      <c r="N11" s="22"/>
    </row>
    <row r="12" spans="2:14" ht="16.5" thickTop="1" thickBot="1" x14ac:dyDescent="0.3">
      <c r="B12" s="63" t="s">
        <v>13</v>
      </c>
      <c r="C12" s="64"/>
      <c r="D12" s="64"/>
      <c r="E12" s="64"/>
      <c r="F12" s="64"/>
      <c r="G12" s="64"/>
      <c r="H12" s="64"/>
      <c r="I12" s="65"/>
      <c r="K12" s="4">
        <v>9</v>
      </c>
      <c r="L12" s="5"/>
      <c r="M12" s="5"/>
      <c r="N12" s="6"/>
    </row>
    <row r="13" spans="2:14" ht="16.5" thickTop="1" thickBot="1" x14ac:dyDescent="0.3">
      <c r="B13" s="1"/>
      <c r="K13" s="21">
        <v>10</v>
      </c>
      <c r="L13" s="16"/>
      <c r="M13" s="16"/>
      <c r="N13" s="22"/>
    </row>
    <row r="14" spans="2:14" ht="15.75" thickTop="1" x14ac:dyDescent="0.25">
      <c r="B14" s="61" t="s">
        <v>21</v>
      </c>
      <c r="C14" s="62"/>
      <c r="D14" s="72"/>
      <c r="F14" s="61" t="s">
        <v>22</v>
      </c>
      <c r="G14" s="62"/>
      <c r="H14" s="62"/>
      <c r="I14" s="72"/>
      <c r="K14" s="4">
        <v>11</v>
      </c>
      <c r="L14" s="5"/>
      <c r="M14" s="5"/>
      <c r="N14" s="6"/>
    </row>
    <row r="15" spans="2:14" ht="28.5" x14ac:dyDescent="0.25">
      <c r="B15" s="21" t="s">
        <v>16</v>
      </c>
      <c r="C15" s="16" t="s">
        <v>17</v>
      </c>
      <c r="D15" s="22" t="s">
        <v>18</v>
      </c>
      <c r="F15" s="21" t="s">
        <v>16</v>
      </c>
      <c r="G15" s="16" t="s">
        <v>23</v>
      </c>
      <c r="H15" s="16" t="s">
        <v>24</v>
      </c>
      <c r="I15" s="22" t="s">
        <v>26</v>
      </c>
      <c r="K15" s="21">
        <v>12</v>
      </c>
      <c r="L15" s="16"/>
      <c r="M15" s="16"/>
      <c r="N15" s="22"/>
    </row>
    <row r="16" spans="2:14" ht="30.75" thickBot="1" x14ac:dyDescent="0.3">
      <c r="B16" s="12" t="s">
        <v>14</v>
      </c>
      <c r="C16" s="13">
        <f>IFERROR(VLOOKUP($B$16,Inventário!$B$3:$E$5,2,FALSE),"")</f>
        <v>2</v>
      </c>
      <c r="D16" s="14">
        <f>IFERROR(VLOOKUP($B$16,Inventário!$B$3:$E$5,3,FALSE),"")</f>
        <v>0</v>
      </c>
      <c r="F16" s="12" t="s">
        <v>27</v>
      </c>
      <c r="G16" s="13" t="str">
        <f>IFERROR(VLOOKUP($F$16,Inventário!$B$8:$E$13,2,FALSE),"")</f>
        <v>1d4</v>
      </c>
      <c r="H16" s="13">
        <f>IFERROR(VLOOKUP($F$16,Inventário!$B$8:$E$13,3,FALSE),"")</f>
        <v>0</v>
      </c>
      <c r="I16" s="14" t="str">
        <f>IFERROR(VLOOKUP($F$16,Inventário!$B$8:$E$13,4,FALSE),"")</f>
        <v>x2</v>
      </c>
      <c r="K16" s="4">
        <v>13</v>
      </c>
      <c r="L16" s="5"/>
      <c r="M16" s="5"/>
      <c r="N16" s="6"/>
    </row>
    <row r="17" spans="11:14" ht="15.75" thickTop="1" x14ac:dyDescent="0.25">
      <c r="K17" s="21">
        <v>14</v>
      </c>
      <c r="L17" s="16"/>
      <c r="M17" s="16"/>
      <c r="N17" s="22"/>
    </row>
    <row r="18" spans="11:14" ht="15.75" customHeight="1" x14ac:dyDescent="0.25">
      <c r="K18" s="4">
        <v>15</v>
      </c>
      <c r="L18" s="5"/>
      <c r="M18" s="5"/>
      <c r="N18" s="6"/>
    </row>
    <row r="19" spans="11:14" x14ac:dyDescent="0.25">
      <c r="K19" s="21">
        <v>16</v>
      </c>
      <c r="L19" s="16"/>
      <c r="M19" s="16"/>
      <c r="N19" s="22"/>
    </row>
    <row r="20" spans="11:14" x14ac:dyDescent="0.25">
      <c r="K20" s="4">
        <v>17</v>
      </c>
      <c r="L20" s="5"/>
      <c r="M20" s="5"/>
      <c r="N20" s="6"/>
    </row>
    <row r="21" spans="11:14" x14ac:dyDescent="0.25">
      <c r="K21" s="21">
        <v>18</v>
      </c>
      <c r="L21" s="16"/>
      <c r="M21" s="16"/>
      <c r="N21" s="22"/>
    </row>
    <row r="22" spans="11:14" ht="15.75" customHeight="1" thickBot="1" x14ac:dyDescent="0.3">
      <c r="K22" s="12">
        <v>20</v>
      </c>
      <c r="L22" s="13"/>
      <c r="M22" s="13"/>
      <c r="N22" s="14"/>
    </row>
    <row r="23" spans="11:14" ht="16.5" thickTop="1" thickBot="1" x14ac:dyDescent="0.3"/>
    <row r="24" spans="11:14" ht="15.75" thickTop="1" x14ac:dyDescent="0.25">
      <c r="K24" s="61" t="s">
        <v>101</v>
      </c>
      <c r="L24" s="72"/>
    </row>
    <row r="25" spans="11:14" x14ac:dyDescent="0.25">
      <c r="K25" s="21" t="s">
        <v>1</v>
      </c>
      <c r="L25" s="22"/>
    </row>
    <row r="26" spans="11:14" ht="15.75" thickBot="1" x14ac:dyDescent="0.3">
      <c r="K26" s="12" t="s">
        <v>2</v>
      </c>
      <c r="L26" s="14"/>
    </row>
    <row r="27" spans="11:14" ht="15.75" thickTop="1" x14ac:dyDescent="0.25"/>
    <row r="41" ht="15.75" customHeight="1" x14ac:dyDescent="0.25"/>
  </sheetData>
  <mergeCells count="13">
    <mergeCell ref="G5:H5"/>
    <mergeCell ref="G6:H6"/>
    <mergeCell ref="G7:H7"/>
    <mergeCell ref="K24:L24"/>
    <mergeCell ref="K2:N2"/>
    <mergeCell ref="B2:C2"/>
    <mergeCell ref="G2:H2"/>
    <mergeCell ref="B14:D14"/>
    <mergeCell ref="F14:I14"/>
    <mergeCell ref="B12:I12"/>
    <mergeCell ref="G9:H9"/>
    <mergeCell ref="G10:H10"/>
    <mergeCell ref="G8:H8"/>
  </mergeCells>
  <phoneticPr fontId="1" type="noConversion"/>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521CA3F-8320-49C1-B18B-A0E81E9CCB97}">
          <x14:formula1>
            <xm:f>Inventário!$B$4:$B$5</xm:f>
          </x14:formula1>
          <xm:sqref>B16</xm:sqref>
        </x14:dataValidation>
        <x14:dataValidation type="list" allowBlank="1" showInputMessage="1" showErrorMessage="1" xr:uid="{A9F736F0-2711-43DE-8250-6B8CAB984B22}">
          <x14:formula1>
            <xm:f>Inventário!$B$9:$B$13</xm:f>
          </x14:formula1>
          <xm:sqref>F16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619-6BB6-48E7-8DD7-18FA62F71394}">
  <dimension ref="A1:O23"/>
  <sheetViews>
    <sheetView workbookViewId="0">
      <selection activeCell="I21" sqref="I21"/>
    </sheetView>
  </sheetViews>
  <sheetFormatPr defaultRowHeight="15" x14ac:dyDescent="0.25"/>
  <cols>
    <col min="12" max="12" width="19.7109375" bestFit="1" customWidth="1"/>
    <col min="13" max="13" width="12.28515625" bestFit="1" customWidth="1"/>
    <col min="14" max="14" width="12.140625" bestFit="1" customWidth="1"/>
  </cols>
  <sheetData>
    <row r="1" spans="1:15" ht="16.5" thickTop="1" thickBot="1" x14ac:dyDescent="0.3">
      <c r="A1" s="63" t="s">
        <v>32</v>
      </c>
      <c r="B1" s="64"/>
      <c r="C1" s="64"/>
      <c r="D1" s="64"/>
      <c r="E1" s="64"/>
      <c r="F1" s="64"/>
      <c r="G1" s="65"/>
      <c r="I1" s="63" t="s">
        <v>168</v>
      </c>
      <c r="J1" s="64"/>
      <c r="K1" s="64"/>
      <c r="L1" s="64"/>
      <c r="M1" s="64"/>
      <c r="N1" s="64"/>
      <c r="O1" s="65"/>
    </row>
    <row r="2" spans="1:15" ht="16.5" thickTop="1" thickBot="1" x14ac:dyDescent="0.3"/>
    <row r="3" spans="1:15" ht="15.75" thickTop="1" x14ac:dyDescent="0.25">
      <c r="B3" s="61" t="s">
        <v>33</v>
      </c>
      <c r="C3" s="62"/>
      <c r="D3" s="62" t="s">
        <v>135</v>
      </c>
      <c r="E3" s="62"/>
      <c r="F3" s="3"/>
      <c r="K3" s="89" t="s">
        <v>141</v>
      </c>
      <c r="L3" s="90" t="s">
        <v>164</v>
      </c>
      <c r="M3" s="91" t="s">
        <v>17</v>
      </c>
    </row>
    <row r="4" spans="1:15" ht="15" customHeight="1" x14ac:dyDescent="0.25">
      <c r="B4" s="59" t="s">
        <v>34</v>
      </c>
      <c r="C4" s="57"/>
      <c r="D4" s="57" t="s">
        <v>128</v>
      </c>
      <c r="E4" s="57"/>
      <c r="F4" s="22" t="s">
        <v>134</v>
      </c>
      <c r="K4" s="92" t="s">
        <v>97</v>
      </c>
      <c r="L4" s="94" t="s">
        <v>165</v>
      </c>
      <c r="M4" s="95"/>
    </row>
    <row r="5" spans="1:15" ht="15" customHeight="1" x14ac:dyDescent="0.25">
      <c r="B5" s="60" t="s">
        <v>35</v>
      </c>
      <c r="C5" s="58"/>
      <c r="D5" s="58" t="s">
        <v>131</v>
      </c>
      <c r="E5" s="58"/>
      <c r="F5" s="6" t="s">
        <v>134</v>
      </c>
      <c r="K5" s="96" t="s">
        <v>97</v>
      </c>
      <c r="L5" s="97" t="s">
        <v>166</v>
      </c>
      <c r="M5" s="98"/>
    </row>
    <row r="6" spans="1:15" ht="15" customHeight="1" x14ac:dyDescent="0.25">
      <c r="B6" s="59" t="s">
        <v>36</v>
      </c>
      <c r="C6" s="57"/>
      <c r="D6" s="57" t="s">
        <v>159</v>
      </c>
      <c r="E6" s="57"/>
      <c r="F6" s="22" t="s">
        <v>134</v>
      </c>
      <c r="K6" s="92" t="s">
        <v>97</v>
      </c>
      <c r="L6" s="94" t="s">
        <v>167</v>
      </c>
      <c r="M6" s="95"/>
    </row>
    <row r="7" spans="1:15" x14ac:dyDescent="0.25">
      <c r="B7" s="60" t="s">
        <v>37</v>
      </c>
      <c r="C7" s="58"/>
      <c r="D7" s="58" t="s">
        <v>129</v>
      </c>
      <c r="E7" s="58"/>
      <c r="F7" s="6" t="s">
        <v>134</v>
      </c>
      <c r="K7" s="96" t="s">
        <v>162</v>
      </c>
      <c r="L7" s="97" t="s">
        <v>126</v>
      </c>
      <c r="M7" s="98"/>
    </row>
    <row r="8" spans="1:15" x14ac:dyDescent="0.25">
      <c r="B8" s="59" t="s">
        <v>38</v>
      </c>
      <c r="C8" s="57"/>
      <c r="D8" s="57" t="s">
        <v>130</v>
      </c>
      <c r="E8" s="57"/>
      <c r="F8" s="22" t="s">
        <v>134</v>
      </c>
      <c r="K8" s="92" t="s">
        <v>163</v>
      </c>
      <c r="L8" s="93" t="s">
        <v>127</v>
      </c>
      <c r="M8" s="95"/>
    </row>
    <row r="9" spans="1:15" x14ac:dyDescent="0.25">
      <c r="B9" s="60" t="s">
        <v>39</v>
      </c>
      <c r="C9" s="58"/>
      <c r="D9" s="58" t="s">
        <v>157</v>
      </c>
      <c r="E9" s="58"/>
      <c r="F9" s="6" t="s">
        <v>134</v>
      </c>
      <c r="K9" s="96"/>
      <c r="L9" s="97"/>
      <c r="M9" s="98"/>
    </row>
    <row r="10" spans="1:15" ht="15" customHeight="1" x14ac:dyDescent="0.25">
      <c r="B10" s="59" t="s">
        <v>40</v>
      </c>
      <c r="C10" s="57"/>
      <c r="D10" s="57" t="s">
        <v>132</v>
      </c>
      <c r="E10" s="57"/>
      <c r="F10" s="22" t="s">
        <v>134</v>
      </c>
      <c r="K10" s="92"/>
      <c r="L10" s="94"/>
      <c r="M10" s="95"/>
    </row>
    <row r="11" spans="1:15" x14ac:dyDescent="0.25">
      <c r="B11" s="60" t="s">
        <v>41</v>
      </c>
      <c r="C11" s="58"/>
      <c r="D11" s="58" t="s">
        <v>158</v>
      </c>
      <c r="E11" s="58"/>
      <c r="F11" s="6" t="s">
        <v>134</v>
      </c>
      <c r="K11" s="96"/>
      <c r="L11" s="97"/>
      <c r="M11" s="98"/>
    </row>
    <row r="12" spans="1:15" x14ac:dyDescent="0.25">
      <c r="B12" s="59" t="s">
        <v>42</v>
      </c>
      <c r="C12" s="57"/>
      <c r="D12" s="57" t="s">
        <v>133</v>
      </c>
      <c r="E12" s="57"/>
      <c r="F12" s="22" t="s">
        <v>134</v>
      </c>
      <c r="K12" s="92"/>
      <c r="L12" s="94"/>
      <c r="M12" s="95"/>
    </row>
    <row r="13" spans="1:15" x14ac:dyDescent="0.25">
      <c r="B13" s="60" t="s">
        <v>85</v>
      </c>
      <c r="C13" s="58"/>
      <c r="D13" s="58" t="s">
        <v>169</v>
      </c>
      <c r="E13" s="58"/>
      <c r="F13" s="6" t="s">
        <v>170</v>
      </c>
      <c r="K13" s="96"/>
      <c r="L13" s="97"/>
      <c r="M13" s="98"/>
    </row>
    <row r="14" spans="1:15" x14ac:dyDescent="0.25">
      <c r="B14" s="59" t="s">
        <v>86</v>
      </c>
      <c r="C14" s="57"/>
      <c r="D14" s="57"/>
      <c r="E14" s="57"/>
      <c r="F14" s="22"/>
      <c r="K14" s="92"/>
      <c r="L14" s="94"/>
      <c r="M14" s="95"/>
    </row>
    <row r="15" spans="1:15" x14ac:dyDescent="0.25">
      <c r="B15" s="60" t="s">
        <v>87</v>
      </c>
      <c r="C15" s="58"/>
      <c r="D15" s="58"/>
      <c r="E15" s="58"/>
      <c r="F15" s="6"/>
      <c r="K15" s="96"/>
      <c r="L15" s="97"/>
      <c r="M15" s="98"/>
    </row>
    <row r="16" spans="1:15" x14ac:dyDescent="0.25">
      <c r="B16" s="59" t="s">
        <v>88</v>
      </c>
      <c r="C16" s="57"/>
      <c r="D16" s="57"/>
      <c r="E16" s="57"/>
      <c r="F16" s="22"/>
      <c r="K16" s="92"/>
      <c r="L16" s="94"/>
      <c r="M16" s="95"/>
    </row>
    <row r="17" spans="2:13" x14ac:dyDescent="0.25">
      <c r="B17" s="60" t="s">
        <v>84</v>
      </c>
      <c r="C17" s="58"/>
      <c r="D17" s="58"/>
      <c r="E17" s="58"/>
      <c r="F17" s="6"/>
      <c r="K17" s="96"/>
      <c r="L17" s="97"/>
      <c r="M17" s="98"/>
    </row>
    <row r="18" spans="2:13" x14ac:dyDescent="0.25">
      <c r="B18" s="59" t="s">
        <v>89</v>
      </c>
      <c r="C18" s="57"/>
      <c r="D18" s="57"/>
      <c r="E18" s="57"/>
      <c r="F18" s="22"/>
      <c r="K18" s="92"/>
      <c r="L18" s="94"/>
      <c r="M18" s="95"/>
    </row>
    <row r="19" spans="2:13" x14ac:dyDescent="0.25">
      <c r="B19" s="60" t="s">
        <v>90</v>
      </c>
      <c r="C19" s="58"/>
      <c r="D19" s="58"/>
      <c r="E19" s="58"/>
      <c r="F19" s="6"/>
      <c r="K19" s="96"/>
      <c r="L19" s="97"/>
      <c r="M19" s="98"/>
    </row>
    <row r="20" spans="2:13" x14ac:dyDescent="0.25">
      <c r="B20" s="59" t="s">
        <v>91</v>
      </c>
      <c r="C20" s="57"/>
      <c r="D20" s="57"/>
      <c r="E20" s="57"/>
      <c r="F20" s="22"/>
      <c r="K20" s="92"/>
      <c r="L20" s="94"/>
      <c r="M20" s="95"/>
    </row>
    <row r="21" spans="2:13" x14ac:dyDescent="0.25">
      <c r="B21" s="60" t="s">
        <v>92</v>
      </c>
      <c r="C21" s="58"/>
      <c r="D21" s="58"/>
      <c r="E21" s="58"/>
      <c r="F21" s="6"/>
      <c r="K21" s="96"/>
      <c r="L21" s="97"/>
      <c r="M21" s="98"/>
    </row>
    <row r="22" spans="2:13" ht="15.75" thickBot="1" x14ac:dyDescent="0.3">
      <c r="B22" s="66" t="s">
        <v>93</v>
      </c>
      <c r="C22" s="67"/>
      <c r="D22" s="67"/>
      <c r="E22" s="67"/>
      <c r="F22" s="24"/>
      <c r="K22" s="99"/>
      <c r="L22" s="100"/>
      <c r="M22" s="101"/>
    </row>
    <row r="23" spans="2:13" ht="15.75" thickTop="1" x14ac:dyDescent="0.25"/>
  </sheetData>
  <mergeCells count="42">
    <mergeCell ref="D14:E14"/>
    <mergeCell ref="D18:E18"/>
    <mergeCell ref="D19:E19"/>
    <mergeCell ref="I1:O1"/>
    <mergeCell ref="B5:C5"/>
    <mergeCell ref="D20:E20"/>
    <mergeCell ref="D21:E21"/>
    <mergeCell ref="D8:E8"/>
    <mergeCell ref="D7:E7"/>
    <mergeCell ref="D9:E9"/>
    <mergeCell ref="D10:E10"/>
    <mergeCell ref="D12:E12"/>
    <mergeCell ref="D11:E11"/>
    <mergeCell ref="D13:E13"/>
    <mergeCell ref="B14:C14"/>
    <mergeCell ref="B15:C15"/>
    <mergeCell ref="B16:C16"/>
    <mergeCell ref="B17:C17"/>
    <mergeCell ref="B9:C9"/>
    <mergeCell ref="B10:C10"/>
    <mergeCell ref="B11:C11"/>
    <mergeCell ref="B12:C12"/>
    <mergeCell ref="B13:C13"/>
    <mergeCell ref="D15:E15"/>
    <mergeCell ref="B21:C21"/>
    <mergeCell ref="B22:C22"/>
    <mergeCell ref="B18:C18"/>
    <mergeCell ref="B19:C19"/>
    <mergeCell ref="B20:C20"/>
    <mergeCell ref="D22:E22"/>
    <mergeCell ref="D16:E16"/>
    <mergeCell ref="D17:E17"/>
    <mergeCell ref="A1:G1"/>
    <mergeCell ref="D6:E6"/>
    <mergeCell ref="D3:E3"/>
    <mergeCell ref="B4:C4"/>
    <mergeCell ref="B3:C3"/>
    <mergeCell ref="B8:C8"/>
    <mergeCell ref="D4:E4"/>
    <mergeCell ref="D5:E5"/>
    <mergeCell ref="B7:C7"/>
    <mergeCell ref="B6:C6"/>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4931-6B69-40CB-A1AC-62EB079295A3}">
  <dimension ref="B1:H32"/>
  <sheetViews>
    <sheetView zoomScaleNormal="100" workbookViewId="0">
      <selection activeCell="H13" sqref="H13"/>
    </sheetView>
  </sheetViews>
  <sheetFormatPr defaultRowHeight="15" x14ac:dyDescent="0.25"/>
  <cols>
    <col min="2" max="2" width="13.85546875" bestFit="1" customWidth="1"/>
    <col min="7" max="7" width="8.42578125" bestFit="1" customWidth="1"/>
  </cols>
  <sheetData>
    <row r="1" spans="2:8" ht="15.75" thickBot="1" x14ac:dyDescent="0.3"/>
    <row r="2" spans="2:8" ht="15.75" thickTop="1" x14ac:dyDescent="0.25">
      <c r="B2" s="2" t="s">
        <v>0</v>
      </c>
      <c r="C2" s="27" t="s">
        <v>105</v>
      </c>
      <c r="D2" s="27" t="s">
        <v>106</v>
      </c>
      <c r="E2" s="3" t="s">
        <v>30</v>
      </c>
      <c r="G2" s="78" t="s">
        <v>105</v>
      </c>
      <c r="H2" s="79"/>
    </row>
    <row r="3" spans="2:8" ht="15.75" thickBot="1" x14ac:dyDescent="0.3">
      <c r="B3" s="21" t="str">
        <f>Tabela1[[#This Row],[Perícia]]</f>
        <v>Acrobacia</v>
      </c>
      <c r="C3" s="16">
        <f>Tabela1[[#This Row],[Total]]</f>
        <v>8</v>
      </c>
      <c r="D3" s="16">
        <f ca="1">RANDBETWEEN(1,20)</f>
        <v>20</v>
      </c>
      <c r="E3" s="22">
        <f ca="1">SUM(C3:D3)</f>
        <v>28</v>
      </c>
      <c r="G3" s="23" t="s">
        <v>71</v>
      </c>
      <c r="H3" s="24">
        <f ca="1">VLOOKUP(G3,B2:E31,4,FALSE)</f>
        <v>12</v>
      </c>
    </row>
    <row r="4" spans="2:8" ht="15.75" thickTop="1" x14ac:dyDescent="0.25">
      <c r="B4" s="4" t="str">
        <f>Tabela1[[#This Row],[Perícia]]</f>
        <v>Adestramento</v>
      </c>
      <c r="C4" s="5">
        <f>Tabela1[[#This Row],[Total]]</f>
        <v>8</v>
      </c>
      <c r="D4" s="5">
        <f t="shared" ref="D4:D31" ca="1" si="0">RANDBETWEEN(1,20)</f>
        <v>5</v>
      </c>
      <c r="E4" s="6">
        <f t="shared" ref="E4:E31" ca="1" si="1">SUM(C4:D4)</f>
        <v>13</v>
      </c>
    </row>
    <row r="5" spans="2:8" x14ac:dyDescent="0.25">
      <c r="B5" s="21" t="str">
        <f>Tabela1[[#This Row],[Perícia]]</f>
        <v>Atletismo</v>
      </c>
      <c r="C5" s="16">
        <f>Tabela1[[#This Row],[Total]]</f>
        <v>7</v>
      </c>
      <c r="D5" s="16">
        <f t="shared" ca="1" si="0"/>
        <v>14</v>
      </c>
      <c r="E5" s="22">
        <f t="shared" ca="1" si="1"/>
        <v>21</v>
      </c>
    </row>
    <row r="6" spans="2:8" x14ac:dyDescent="0.25">
      <c r="B6" s="4" t="str">
        <f>Tabela1[[#This Row],[Perícia]]</f>
        <v>Atuação</v>
      </c>
      <c r="C6" s="5">
        <f>Tabela1[[#This Row],[Total]]</f>
        <v>8</v>
      </c>
      <c r="D6" s="5">
        <f t="shared" ca="1" si="0"/>
        <v>13</v>
      </c>
      <c r="E6" s="6">
        <f t="shared" ca="1" si="1"/>
        <v>21</v>
      </c>
    </row>
    <row r="7" spans="2:8" x14ac:dyDescent="0.25">
      <c r="B7" s="21" t="str">
        <f>Tabela1[[#This Row],[Perícia]]</f>
        <v>Cavalgar</v>
      </c>
      <c r="C7" s="16">
        <f>Tabela1[[#This Row],[Total]]</f>
        <v>8</v>
      </c>
      <c r="D7" s="16">
        <f t="shared" ca="1" si="0"/>
        <v>9</v>
      </c>
      <c r="E7" s="22">
        <f t="shared" ca="1" si="1"/>
        <v>17</v>
      </c>
    </row>
    <row r="8" spans="2:8" x14ac:dyDescent="0.25">
      <c r="B8" s="4" t="str">
        <f>Tabela1[[#This Row],[Perícia]]</f>
        <v>Conhecimento</v>
      </c>
      <c r="C8" s="5">
        <f>Tabela1[[#This Row],[Total]]</f>
        <v>15</v>
      </c>
      <c r="D8" s="5">
        <f t="shared" ca="1" si="0"/>
        <v>17</v>
      </c>
      <c r="E8" s="6">
        <f t="shared" ca="1" si="1"/>
        <v>32</v>
      </c>
    </row>
    <row r="9" spans="2:8" x14ac:dyDescent="0.25">
      <c r="B9" s="21" t="str">
        <f>Tabela1[[#This Row],[Perícia]]</f>
        <v>Cura</v>
      </c>
      <c r="C9" s="16">
        <f>Tabela1[[#This Row],[Total]]</f>
        <v>13</v>
      </c>
      <c r="D9" s="16">
        <f t="shared" ca="1" si="0"/>
        <v>17</v>
      </c>
      <c r="E9" s="22">
        <f t="shared" ca="1" si="1"/>
        <v>30</v>
      </c>
    </row>
    <row r="10" spans="2:8" x14ac:dyDescent="0.25">
      <c r="B10" s="4" t="str">
        <f>Tabela1[[#This Row],[Perícia]]</f>
        <v>Diplomacia</v>
      </c>
      <c r="C10" s="5">
        <f>Tabela1[[#This Row],[Total]]</f>
        <v>8</v>
      </c>
      <c r="D10" s="5">
        <f t="shared" ca="1" si="0"/>
        <v>16</v>
      </c>
      <c r="E10" s="6">
        <f t="shared" ca="1" si="1"/>
        <v>24</v>
      </c>
    </row>
    <row r="11" spans="2:8" x14ac:dyDescent="0.25">
      <c r="B11" s="21" t="str">
        <f>Tabela1[[#This Row],[Perícia]]</f>
        <v>Enganação</v>
      </c>
      <c r="C11" s="16">
        <f>Tabela1[[#This Row],[Total]]</f>
        <v>8</v>
      </c>
      <c r="D11" s="16">
        <f t="shared" ca="1" si="0"/>
        <v>9</v>
      </c>
      <c r="E11" s="22">
        <f t="shared" ca="1" si="1"/>
        <v>17</v>
      </c>
    </row>
    <row r="12" spans="2:8" x14ac:dyDescent="0.25">
      <c r="B12" s="4" t="str">
        <f>Tabela1[[#This Row],[Perícia]]</f>
        <v>Fortitude</v>
      </c>
      <c r="C12" s="5">
        <f>Tabela1[[#This Row],[Total]]</f>
        <v>6</v>
      </c>
      <c r="D12" s="5">
        <f t="shared" ca="1" si="0"/>
        <v>9</v>
      </c>
      <c r="E12" s="6">
        <f t="shared" ca="1" si="1"/>
        <v>15</v>
      </c>
    </row>
    <row r="13" spans="2:8" x14ac:dyDescent="0.25">
      <c r="B13" s="21" t="str">
        <f>Tabela1[[#This Row],[Perícia]]</f>
        <v>Furtividade</v>
      </c>
      <c r="C13" s="16">
        <f>Tabela1[[#This Row],[Total]]</f>
        <v>8</v>
      </c>
      <c r="D13" s="16">
        <f t="shared" ca="1" si="0"/>
        <v>2</v>
      </c>
      <c r="E13" s="22">
        <f t="shared" ca="1" si="1"/>
        <v>10</v>
      </c>
    </row>
    <row r="14" spans="2:8" x14ac:dyDescent="0.25">
      <c r="B14" s="4" t="str">
        <f>Tabela1[[#This Row],[Perícia]]</f>
        <v>Guerra</v>
      </c>
      <c r="C14" s="5">
        <f>Tabela1[[#This Row],[Total]]</f>
        <v>16</v>
      </c>
      <c r="D14" s="5">
        <f t="shared" ca="1" si="0"/>
        <v>2</v>
      </c>
      <c r="E14" s="6">
        <f t="shared" ca="1" si="1"/>
        <v>18</v>
      </c>
    </row>
    <row r="15" spans="2:8" x14ac:dyDescent="0.25">
      <c r="B15" s="21" t="str">
        <f>Tabela1[[#This Row],[Perícia]]</f>
        <v>Iniciativa</v>
      </c>
      <c r="C15" s="16">
        <f>Tabela1[[#This Row],[Total]]</f>
        <v>8</v>
      </c>
      <c r="D15" s="16">
        <f t="shared" ca="1" si="0"/>
        <v>3</v>
      </c>
      <c r="E15" s="22">
        <f t="shared" ca="1" si="1"/>
        <v>11</v>
      </c>
    </row>
    <row r="16" spans="2:8" x14ac:dyDescent="0.25">
      <c r="B16" s="4" t="str">
        <f>Tabela1[[#This Row],[Perícia]]</f>
        <v>Intimidação</v>
      </c>
      <c r="C16" s="5">
        <f>Tabela1[[#This Row],[Total]]</f>
        <v>8</v>
      </c>
      <c r="D16" s="5">
        <f t="shared" ca="1" si="0"/>
        <v>6</v>
      </c>
      <c r="E16" s="6">
        <f t="shared" ca="1" si="1"/>
        <v>14</v>
      </c>
    </row>
    <row r="17" spans="2:5" x14ac:dyDescent="0.25">
      <c r="B17" s="21" t="str">
        <f>Tabela1[[#This Row],[Perícia]]</f>
        <v>Intuição</v>
      </c>
      <c r="C17" s="16">
        <f>Tabela1[[#This Row],[Total]]</f>
        <v>9</v>
      </c>
      <c r="D17" s="16">
        <f t="shared" ca="1" si="0"/>
        <v>16</v>
      </c>
      <c r="E17" s="22">
        <f t="shared" ca="1" si="1"/>
        <v>25</v>
      </c>
    </row>
    <row r="18" spans="2:5" x14ac:dyDescent="0.25">
      <c r="B18" s="4" t="str">
        <f>Tabela1[[#This Row],[Perícia]]</f>
        <v>Investigação</v>
      </c>
      <c r="C18" s="5">
        <f>Tabela1[[#This Row],[Total]]</f>
        <v>15</v>
      </c>
      <c r="D18" s="5">
        <f t="shared" ca="1" si="0"/>
        <v>14</v>
      </c>
      <c r="E18" s="6">
        <f t="shared" ca="1" si="1"/>
        <v>29</v>
      </c>
    </row>
    <row r="19" spans="2:5" x14ac:dyDescent="0.25">
      <c r="B19" s="21" t="str">
        <f>Tabela1[[#This Row],[Perícia]]</f>
        <v>Jogatina</v>
      </c>
      <c r="C19" s="16">
        <f>Tabela1[[#This Row],[Total]]</f>
        <v>8</v>
      </c>
      <c r="D19" s="16">
        <f t="shared" ca="1" si="0"/>
        <v>6</v>
      </c>
      <c r="E19" s="22">
        <f t="shared" ca="1" si="1"/>
        <v>14</v>
      </c>
    </row>
    <row r="20" spans="2:5" x14ac:dyDescent="0.25">
      <c r="B20" s="4" t="str">
        <f>Tabela1[[#This Row],[Perícia]]</f>
        <v>Ladinagem</v>
      </c>
      <c r="C20" s="5">
        <f>Tabela1[[#This Row],[Total]]</f>
        <v>8</v>
      </c>
      <c r="D20" s="5">
        <f t="shared" ca="1" si="0"/>
        <v>1</v>
      </c>
      <c r="E20" s="6">
        <f t="shared" ca="1" si="1"/>
        <v>9</v>
      </c>
    </row>
    <row r="21" spans="2:5" x14ac:dyDescent="0.25">
      <c r="B21" s="21" t="str">
        <f>Tabela1[[#This Row],[Perícia]]</f>
        <v>Luta</v>
      </c>
      <c r="C21" s="16">
        <f>Tabela1[[#This Row],[Total]]</f>
        <v>11</v>
      </c>
      <c r="D21" s="16">
        <f t="shared" ca="1" si="0"/>
        <v>1</v>
      </c>
      <c r="E21" s="22">
        <f t="shared" ca="1" si="1"/>
        <v>12</v>
      </c>
    </row>
    <row r="22" spans="2:5" x14ac:dyDescent="0.25">
      <c r="B22" s="4" t="str">
        <f>Tabela1[[#This Row],[Perícia]]</f>
        <v>Misticismo</v>
      </c>
      <c r="C22" s="5">
        <f>Tabela1[[#This Row],[Total]]</f>
        <v>17</v>
      </c>
      <c r="D22" s="5">
        <f t="shared" ca="1" si="0"/>
        <v>1</v>
      </c>
      <c r="E22" s="6">
        <f t="shared" ca="1" si="1"/>
        <v>18</v>
      </c>
    </row>
    <row r="23" spans="2:5" x14ac:dyDescent="0.25">
      <c r="B23" s="21" t="str">
        <f>Tabela1[[#This Row],[Perícia]]</f>
        <v>Nobreza</v>
      </c>
      <c r="C23" s="16">
        <f>Tabela1[[#This Row],[Total]]</f>
        <v>11</v>
      </c>
      <c r="D23" s="16">
        <f t="shared" ca="1" si="0"/>
        <v>18</v>
      </c>
      <c r="E23" s="22">
        <f t="shared" ca="1" si="1"/>
        <v>29</v>
      </c>
    </row>
    <row r="24" spans="2:5" ht="30" x14ac:dyDescent="0.25">
      <c r="B24" s="4" t="str">
        <f>Tabela1[[#This Row],[Perícia]]</f>
        <v>Ofício (Alquimista)</v>
      </c>
      <c r="C24" s="5">
        <f>Tabela1[[#This Row],[Total]]</f>
        <v>15</v>
      </c>
      <c r="D24" s="5">
        <f t="shared" ca="1" si="0"/>
        <v>11</v>
      </c>
      <c r="E24" s="6">
        <f t="shared" ca="1" si="1"/>
        <v>26</v>
      </c>
    </row>
    <row r="25" spans="2:5" ht="28.5" x14ac:dyDescent="0.25">
      <c r="B25" s="21" t="str">
        <f>Tabela1[[#This Row],[Perícia]]</f>
        <v>Ofício (Armeiro)</v>
      </c>
      <c r="C25" s="16">
        <f>Tabela1[[#This Row],[Total]]</f>
        <v>15</v>
      </c>
      <c r="D25" s="16">
        <f t="shared" ca="1" si="0"/>
        <v>1</v>
      </c>
      <c r="E25" s="22">
        <f t="shared" ca="1" si="1"/>
        <v>16</v>
      </c>
    </row>
    <row r="26" spans="2:5" ht="45" x14ac:dyDescent="0.25">
      <c r="B26" s="4" t="str">
        <f>Tabela1[[#This Row],[Perícia]]</f>
        <v>Ofício (Engenhoqueiro)</v>
      </c>
      <c r="C26" s="5">
        <f>Tabela1[[#This Row],[Total]]</f>
        <v>15</v>
      </c>
      <c r="D26" s="5">
        <f t="shared" ca="1" si="0"/>
        <v>7</v>
      </c>
      <c r="E26" s="6">
        <f t="shared" ca="1" si="1"/>
        <v>22</v>
      </c>
    </row>
    <row r="27" spans="2:5" x14ac:dyDescent="0.25">
      <c r="B27" s="21" t="str">
        <f>Tabela1[[#This Row],[Perícia]]</f>
        <v>Percepção</v>
      </c>
      <c r="C27" s="16">
        <f>Tabela1[[#This Row],[Total]]</f>
        <v>15</v>
      </c>
      <c r="D27" s="16">
        <f t="shared" ca="1" si="0"/>
        <v>19</v>
      </c>
      <c r="E27" s="22">
        <f t="shared" ca="1" si="1"/>
        <v>34</v>
      </c>
    </row>
    <row r="28" spans="2:5" x14ac:dyDescent="0.25">
      <c r="B28" s="4" t="str">
        <f>Tabela1[[#This Row],[Perícia]]</f>
        <v>Pilotagem</v>
      </c>
      <c r="C28" s="5">
        <f>Tabela1[[#This Row],[Total]]</f>
        <v>8</v>
      </c>
      <c r="D28" s="5">
        <f t="shared" ca="1" si="0"/>
        <v>19</v>
      </c>
      <c r="E28" s="6">
        <f t="shared" ca="1" si="1"/>
        <v>27</v>
      </c>
    </row>
    <row r="29" spans="2:5" x14ac:dyDescent="0.25">
      <c r="B29" s="21" t="str">
        <f>Tabela1[[#This Row],[Perícia]]</f>
        <v>Pontaria</v>
      </c>
      <c r="C29" s="16">
        <f>Tabela1[[#This Row],[Total]]</f>
        <v>8</v>
      </c>
      <c r="D29" s="16">
        <f t="shared" ca="1" si="0"/>
        <v>18</v>
      </c>
      <c r="E29" s="22">
        <f t="shared" ca="1" si="1"/>
        <v>26</v>
      </c>
    </row>
    <row r="30" spans="2:5" x14ac:dyDescent="0.25">
      <c r="B30" s="4" t="str">
        <f>Tabela1[[#This Row],[Perícia]]</f>
        <v>Reflexos</v>
      </c>
      <c r="C30" s="5">
        <f>Tabela1[[#This Row],[Total]]</f>
        <v>12</v>
      </c>
      <c r="D30" s="5">
        <f t="shared" ca="1" si="0"/>
        <v>6</v>
      </c>
      <c r="E30" s="6">
        <f t="shared" ca="1" si="1"/>
        <v>18</v>
      </c>
    </row>
    <row r="31" spans="2:5" ht="15.75" thickBot="1" x14ac:dyDescent="0.3">
      <c r="B31" s="23" t="str">
        <f>Tabela1[[#This Row],[Perícia]]</f>
        <v>Religião</v>
      </c>
      <c r="C31" s="25">
        <f>Tabela1[[#This Row],[Total]]</f>
        <v>13</v>
      </c>
      <c r="D31" s="25">
        <f t="shared" ca="1" si="0"/>
        <v>2</v>
      </c>
      <c r="E31" s="24">
        <f t="shared" ca="1" si="1"/>
        <v>15</v>
      </c>
    </row>
    <row r="32" spans="2:5" ht="15.75" thickTop="1" x14ac:dyDescent="0.25"/>
  </sheetData>
  <mergeCells count="1">
    <mergeCell ref="G2:H2"/>
  </mergeCells>
  <dataValidations count="1">
    <dataValidation type="list" allowBlank="1" showInputMessage="1" showErrorMessage="1" sqref="G3" xr:uid="{B0557C4D-6A76-4A09-A415-E9C68FD3C81C}">
      <formula1>$B$2:$B$31</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B865-F296-4A33-AB14-CDFD2F1BA81B}">
  <dimension ref="B1:H35"/>
  <sheetViews>
    <sheetView topLeftCell="A3" workbookViewId="0">
      <selection activeCell="B45" sqref="B45"/>
    </sheetView>
  </sheetViews>
  <sheetFormatPr defaultRowHeight="15" x14ac:dyDescent="0.25"/>
  <cols>
    <col min="2" max="2" width="23.28515625" bestFit="1" customWidth="1"/>
    <col min="3" max="3" width="15.42578125" customWidth="1"/>
    <col min="4" max="4" width="11.85546875" bestFit="1" customWidth="1"/>
    <col min="5" max="5" width="10.5703125" bestFit="1" customWidth="1"/>
  </cols>
  <sheetData>
    <row r="1" spans="2:8" ht="15.75" thickBot="1" x14ac:dyDescent="0.3"/>
    <row r="2" spans="2:8" ht="15.75" thickTop="1" x14ac:dyDescent="0.25">
      <c r="B2" s="9" t="s">
        <v>136</v>
      </c>
      <c r="C2" s="9" t="s">
        <v>141</v>
      </c>
      <c r="D2" s="10" t="s">
        <v>137</v>
      </c>
      <c r="E2" s="47" t="s">
        <v>138</v>
      </c>
      <c r="G2" s="61" t="s">
        <v>139</v>
      </c>
      <c r="H2" s="72"/>
    </row>
    <row r="3" spans="2:8" x14ac:dyDescent="0.25">
      <c r="B3" s="48" t="s">
        <v>140</v>
      </c>
      <c r="C3" s="48" t="s">
        <v>142</v>
      </c>
      <c r="D3" s="16">
        <v>1</v>
      </c>
      <c r="E3" s="17">
        <f t="shared" ref="E3:E35" si="0">IFERROR(VLOOKUP(D3,$G$3:$H$7,2,FALSE)^2*10,"")</f>
        <v>10</v>
      </c>
      <c r="G3" s="21">
        <v>1</v>
      </c>
      <c r="H3" s="22">
        <v>1</v>
      </c>
    </row>
    <row r="4" spans="2:8" x14ac:dyDescent="0.25">
      <c r="B4" s="44" t="s">
        <v>143</v>
      </c>
      <c r="C4" s="7" t="s">
        <v>142</v>
      </c>
      <c r="D4" s="5">
        <v>1</v>
      </c>
      <c r="E4" s="8">
        <f t="shared" si="0"/>
        <v>10</v>
      </c>
      <c r="G4" s="4">
        <v>2</v>
      </c>
      <c r="H4" s="6">
        <v>3</v>
      </c>
    </row>
    <row r="5" spans="2:8" x14ac:dyDescent="0.25">
      <c r="B5" s="48" t="s">
        <v>144</v>
      </c>
      <c r="C5" s="15" t="s">
        <v>145</v>
      </c>
      <c r="D5" s="16">
        <v>1</v>
      </c>
      <c r="E5" s="17">
        <f t="shared" si="0"/>
        <v>10</v>
      </c>
      <c r="G5" s="21">
        <v>3</v>
      </c>
      <c r="H5" s="22">
        <v>6</v>
      </c>
    </row>
    <row r="6" spans="2:8" x14ac:dyDescent="0.25">
      <c r="B6" s="44" t="s">
        <v>146</v>
      </c>
      <c r="C6" s="7" t="s">
        <v>145</v>
      </c>
      <c r="D6" s="5">
        <v>1</v>
      </c>
      <c r="E6" s="8">
        <f t="shared" si="0"/>
        <v>10</v>
      </c>
      <c r="G6" s="4">
        <v>4</v>
      </c>
      <c r="H6" s="6">
        <v>10</v>
      </c>
    </row>
    <row r="7" spans="2:8" ht="15.75" thickBot="1" x14ac:dyDescent="0.3">
      <c r="B7" s="48" t="s">
        <v>147</v>
      </c>
      <c r="C7" s="15" t="s">
        <v>145</v>
      </c>
      <c r="D7" s="16">
        <v>1</v>
      </c>
      <c r="E7" s="17">
        <f t="shared" si="0"/>
        <v>10</v>
      </c>
      <c r="G7" s="23">
        <v>5</v>
      </c>
      <c r="H7" s="24">
        <v>15</v>
      </c>
    </row>
    <row r="8" spans="2:8" ht="15.75" thickTop="1" x14ac:dyDescent="0.25">
      <c r="B8" s="44" t="s">
        <v>148</v>
      </c>
      <c r="C8" s="7" t="s">
        <v>145</v>
      </c>
      <c r="D8" s="5">
        <v>1</v>
      </c>
      <c r="E8" s="8">
        <f t="shared" si="0"/>
        <v>10</v>
      </c>
    </row>
    <row r="9" spans="2:8" x14ac:dyDescent="0.25">
      <c r="B9" s="48" t="s">
        <v>149</v>
      </c>
      <c r="C9" s="15" t="s">
        <v>145</v>
      </c>
      <c r="D9" s="16">
        <v>1</v>
      </c>
      <c r="E9" s="17">
        <f t="shared" si="0"/>
        <v>10</v>
      </c>
    </row>
    <row r="10" spans="2:8" x14ac:dyDescent="0.25">
      <c r="B10" s="44" t="s">
        <v>150</v>
      </c>
      <c r="C10" s="7" t="s">
        <v>142</v>
      </c>
      <c r="D10" s="5">
        <v>1</v>
      </c>
      <c r="E10" s="8">
        <f t="shared" si="0"/>
        <v>10</v>
      </c>
    </row>
    <row r="11" spans="2:8" x14ac:dyDescent="0.25">
      <c r="B11" s="48" t="s">
        <v>151</v>
      </c>
      <c r="C11" s="15" t="s">
        <v>145</v>
      </c>
      <c r="D11" s="16">
        <v>2</v>
      </c>
      <c r="E11" s="17">
        <f t="shared" si="0"/>
        <v>90</v>
      </c>
    </row>
    <row r="12" spans="2:8" x14ac:dyDescent="0.25">
      <c r="B12" s="44" t="s">
        <v>152</v>
      </c>
      <c r="C12" s="7" t="s">
        <v>145</v>
      </c>
      <c r="D12" s="5">
        <v>1</v>
      </c>
      <c r="E12" s="8">
        <f t="shared" si="0"/>
        <v>10</v>
      </c>
    </row>
    <row r="13" spans="2:8" x14ac:dyDescent="0.25">
      <c r="B13" s="48" t="s">
        <v>153</v>
      </c>
      <c r="C13" s="15" t="s">
        <v>142</v>
      </c>
      <c r="D13" s="16">
        <v>2</v>
      </c>
      <c r="E13" s="17">
        <f t="shared" si="0"/>
        <v>90</v>
      </c>
    </row>
    <row r="14" spans="2:8" x14ac:dyDescent="0.25">
      <c r="B14" s="44" t="s">
        <v>154</v>
      </c>
      <c r="C14" s="7" t="s">
        <v>142</v>
      </c>
      <c r="D14" s="5">
        <v>2</v>
      </c>
      <c r="E14" s="8">
        <f t="shared" si="0"/>
        <v>90</v>
      </c>
    </row>
    <row r="15" spans="2:8" x14ac:dyDescent="0.25">
      <c r="B15" s="48" t="s">
        <v>96</v>
      </c>
      <c r="C15" s="15" t="s">
        <v>155</v>
      </c>
      <c r="D15" s="16">
        <v>2</v>
      </c>
      <c r="E15" s="17">
        <f t="shared" si="0"/>
        <v>90</v>
      </c>
    </row>
    <row r="16" spans="2:8" x14ac:dyDescent="0.25">
      <c r="B16" s="44" t="s">
        <v>156</v>
      </c>
      <c r="C16" s="7" t="s">
        <v>145</v>
      </c>
      <c r="D16" s="5">
        <v>3</v>
      </c>
      <c r="E16" s="8">
        <f t="shared" si="0"/>
        <v>360</v>
      </c>
    </row>
    <row r="17" spans="2:5" x14ac:dyDescent="0.25">
      <c r="B17" s="48"/>
      <c r="C17" s="15"/>
      <c r="D17" s="16"/>
      <c r="E17" s="17" t="str">
        <f t="shared" si="0"/>
        <v/>
      </c>
    </row>
    <row r="18" spans="2:5" x14ac:dyDescent="0.25">
      <c r="B18" s="44"/>
      <c r="C18" s="7"/>
      <c r="D18" s="5"/>
      <c r="E18" s="8" t="str">
        <f t="shared" si="0"/>
        <v/>
      </c>
    </row>
    <row r="19" spans="2:5" x14ac:dyDescent="0.25">
      <c r="B19" s="48"/>
      <c r="C19" s="15"/>
      <c r="D19" s="16"/>
      <c r="E19" s="17" t="str">
        <f t="shared" si="0"/>
        <v/>
      </c>
    </row>
    <row r="20" spans="2:5" x14ac:dyDescent="0.25">
      <c r="B20" s="44"/>
      <c r="C20" s="7"/>
      <c r="D20" s="5"/>
      <c r="E20" s="8" t="str">
        <f t="shared" si="0"/>
        <v/>
      </c>
    </row>
    <row r="21" spans="2:5" x14ac:dyDescent="0.25">
      <c r="B21" s="48"/>
      <c r="C21" s="15"/>
      <c r="D21" s="16"/>
      <c r="E21" s="17" t="str">
        <f t="shared" si="0"/>
        <v/>
      </c>
    </row>
    <row r="22" spans="2:5" x14ac:dyDescent="0.25">
      <c r="B22" s="44"/>
      <c r="C22" s="7"/>
      <c r="D22" s="5"/>
      <c r="E22" s="8" t="str">
        <f t="shared" si="0"/>
        <v/>
      </c>
    </row>
    <row r="23" spans="2:5" x14ac:dyDescent="0.25">
      <c r="B23" s="48"/>
      <c r="C23" s="15"/>
      <c r="D23" s="16"/>
      <c r="E23" s="17" t="str">
        <f t="shared" si="0"/>
        <v/>
      </c>
    </row>
    <row r="24" spans="2:5" x14ac:dyDescent="0.25">
      <c r="B24" s="44"/>
      <c r="C24" s="7"/>
      <c r="D24" s="5"/>
      <c r="E24" s="8" t="str">
        <f t="shared" si="0"/>
        <v/>
      </c>
    </row>
    <row r="25" spans="2:5" x14ac:dyDescent="0.25">
      <c r="B25" s="48"/>
      <c r="C25" s="15"/>
      <c r="D25" s="16"/>
      <c r="E25" s="17" t="str">
        <f t="shared" si="0"/>
        <v/>
      </c>
    </row>
    <row r="26" spans="2:5" x14ac:dyDescent="0.25">
      <c r="B26" s="44"/>
      <c r="C26" s="44"/>
      <c r="D26" s="5"/>
      <c r="E26" s="8" t="str">
        <f t="shared" si="0"/>
        <v/>
      </c>
    </row>
    <row r="27" spans="2:5" x14ac:dyDescent="0.25">
      <c r="B27" s="48"/>
      <c r="C27" s="15"/>
      <c r="D27" s="16"/>
      <c r="E27" s="17" t="str">
        <f t="shared" si="0"/>
        <v/>
      </c>
    </row>
    <row r="28" spans="2:5" x14ac:dyDescent="0.25">
      <c r="B28" s="44"/>
      <c r="C28" s="7"/>
      <c r="D28" s="5"/>
      <c r="E28" s="8" t="str">
        <f t="shared" si="0"/>
        <v/>
      </c>
    </row>
    <row r="29" spans="2:5" x14ac:dyDescent="0.25">
      <c r="B29" s="48"/>
      <c r="C29" s="15"/>
      <c r="D29" s="16"/>
      <c r="E29" s="17" t="str">
        <f t="shared" si="0"/>
        <v/>
      </c>
    </row>
    <row r="30" spans="2:5" x14ac:dyDescent="0.25">
      <c r="B30" s="44"/>
      <c r="C30" s="7"/>
      <c r="D30" s="5"/>
      <c r="E30" s="8" t="str">
        <f t="shared" si="0"/>
        <v/>
      </c>
    </row>
    <row r="31" spans="2:5" x14ac:dyDescent="0.25">
      <c r="B31" s="48"/>
      <c r="C31" s="15"/>
      <c r="D31" s="16"/>
      <c r="E31" s="17" t="str">
        <f t="shared" si="0"/>
        <v/>
      </c>
    </row>
    <row r="32" spans="2:5" x14ac:dyDescent="0.25">
      <c r="B32" s="44"/>
      <c r="C32" s="7"/>
      <c r="D32" s="5"/>
      <c r="E32" s="8" t="str">
        <f t="shared" si="0"/>
        <v/>
      </c>
    </row>
    <row r="33" spans="2:5" x14ac:dyDescent="0.25">
      <c r="B33" s="48"/>
      <c r="C33" s="15"/>
      <c r="D33" s="16"/>
      <c r="E33" s="17" t="str">
        <f t="shared" si="0"/>
        <v/>
      </c>
    </row>
    <row r="34" spans="2:5" x14ac:dyDescent="0.25">
      <c r="B34" s="44"/>
      <c r="C34" s="7"/>
      <c r="D34" s="5"/>
      <c r="E34" s="8" t="str">
        <f t="shared" si="0"/>
        <v/>
      </c>
    </row>
    <row r="35" spans="2:5" x14ac:dyDescent="0.25">
      <c r="B35" s="49"/>
      <c r="C35" s="18"/>
      <c r="D35" s="19"/>
      <c r="E35" s="20" t="str">
        <f t="shared" si="0"/>
        <v/>
      </c>
    </row>
  </sheetData>
  <mergeCells count="1">
    <mergeCell ref="G2:H2"/>
  </mergeCells>
  <pageMargins left="0.511811024" right="0.511811024" top="0.78740157499999996" bottom="0.78740157499999996" header="0.31496062000000002" footer="0.31496062000000002"/>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56B9-F1B4-4F98-9F1B-912E31ABCBA1}">
  <dimension ref="B1:E22"/>
  <sheetViews>
    <sheetView workbookViewId="0">
      <selection activeCell="D4" sqref="D4"/>
    </sheetView>
  </sheetViews>
  <sheetFormatPr defaultRowHeight="15" x14ac:dyDescent="0.25"/>
  <cols>
    <col min="2" max="2" width="18.42578125" bestFit="1" customWidth="1"/>
    <col min="4" max="4" width="11" bestFit="1" customWidth="1"/>
  </cols>
  <sheetData>
    <row r="1" spans="2:5" ht="15.75" thickBot="1" x14ac:dyDescent="0.3"/>
    <row r="2" spans="2:5" ht="15.75" thickTop="1" x14ac:dyDescent="0.25">
      <c r="B2" s="61" t="s">
        <v>15</v>
      </c>
      <c r="C2" s="62"/>
      <c r="D2" s="62"/>
      <c r="E2" s="72"/>
    </row>
    <row r="3" spans="2:5" x14ac:dyDescent="0.25">
      <c r="B3" s="21" t="s">
        <v>16</v>
      </c>
      <c r="C3" s="16" t="s">
        <v>17</v>
      </c>
      <c r="D3" s="16" t="s">
        <v>18</v>
      </c>
      <c r="E3" s="22" t="s">
        <v>19</v>
      </c>
    </row>
    <row r="4" spans="2:5" ht="30" x14ac:dyDescent="0.25">
      <c r="B4" s="4" t="s">
        <v>14</v>
      </c>
      <c r="C4" s="5">
        <v>2</v>
      </c>
      <c r="D4" s="5">
        <v>0</v>
      </c>
      <c r="E4" s="6" t="s">
        <v>20</v>
      </c>
    </row>
    <row r="5" spans="2:5" ht="15.75" thickBot="1" x14ac:dyDescent="0.3">
      <c r="B5" s="23"/>
      <c r="C5" s="25"/>
      <c r="D5" s="25"/>
      <c r="E5" s="24"/>
    </row>
    <row r="6" spans="2:5" ht="16.5" thickTop="1" thickBot="1" x14ac:dyDescent="0.3"/>
    <row r="7" spans="2:5" ht="15.75" thickTop="1" x14ac:dyDescent="0.25">
      <c r="B7" s="61" t="s">
        <v>25</v>
      </c>
      <c r="C7" s="62"/>
      <c r="D7" s="62"/>
      <c r="E7" s="72"/>
    </row>
    <row r="8" spans="2:5" x14ac:dyDescent="0.25">
      <c r="B8" s="21" t="s">
        <v>16</v>
      </c>
      <c r="C8" s="16" t="s">
        <v>23</v>
      </c>
      <c r="D8" s="16" t="s">
        <v>24</v>
      </c>
      <c r="E8" s="22" t="s">
        <v>26</v>
      </c>
    </row>
    <row r="9" spans="2:5" x14ac:dyDescent="0.25">
      <c r="B9" s="4" t="s">
        <v>27</v>
      </c>
      <c r="C9" s="5" t="s">
        <v>112</v>
      </c>
      <c r="D9" s="5"/>
      <c r="E9" s="6" t="s">
        <v>113</v>
      </c>
    </row>
    <row r="10" spans="2:5" x14ac:dyDescent="0.25">
      <c r="B10" s="21"/>
      <c r="C10" s="16"/>
      <c r="D10" s="16"/>
      <c r="E10" s="22"/>
    </row>
    <row r="11" spans="2:5" x14ac:dyDescent="0.25">
      <c r="B11" s="4"/>
      <c r="C11" s="5"/>
      <c r="D11" s="5"/>
      <c r="E11" s="6"/>
    </row>
    <row r="12" spans="2:5" x14ac:dyDescent="0.25">
      <c r="B12" s="21"/>
      <c r="C12" s="16"/>
      <c r="D12" s="16"/>
      <c r="E12" s="22"/>
    </row>
    <row r="13" spans="2:5" ht="15.75" thickBot="1" x14ac:dyDescent="0.3">
      <c r="B13" s="12"/>
      <c r="C13" s="13"/>
      <c r="D13" s="13"/>
      <c r="E13" s="14"/>
    </row>
    <row r="14" spans="2:5" ht="16.5" thickTop="1" thickBot="1" x14ac:dyDescent="0.3"/>
    <row r="15" spans="2:5" ht="15.75" thickTop="1" x14ac:dyDescent="0.25">
      <c r="B15" s="61" t="s">
        <v>123</v>
      </c>
      <c r="C15" s="62"/>
      <c r="D15" s="62"/>
      <c r="E15" s="72"/>
    </row>
    <row r="16" spans="2:5" x14ac:dyDescent="0.25">
      <c r="B16" s="45" t="s">
        <v>16</v>
      </c>
      <c r="C16" s="84" t="s">
        <v>17</v>
      </c>
      <c r="D16" s="85"/>
      <c r="E16" s="46" t="s">
        <v>19</v>
      </c>
    </row>
    <row r="17" spans="2:5" x14ac:dyDescent="0.25">
      <c r="B17" s="4" t="s">
        <v>124</v>
      </c>
      <c r="C17" s="86" t="s">
        <v>125</v>
      </c>
      <c r="D17" s="81"/>
      <c r="E17" s="6"/>
    </row>
    <row r="18" spans="2:5" x14ac:dyDescent="0.25">
      <c r="B18" s="21"/>
      <c r="C18" s="68"/>
      <c r="D18" s="80"/>
      <c r="E18" s="22"/>
    </row>
    <row r="19" spans="2:5" x14ac:dyDescent="0.25">
      <c r="B19" s="4"/>
      <c r="C19" s="70"/>
      <c r="D19" s="81"/>
      <c r="E19" s="6"/>
    </row>
    <row r="20" spans="2:5" x14ac:dyDescent="0.25">
      <c r="B20" s="21"/>
      <c r="C20" s="68"/>
      <c r="D20" s="80"/>
      <c r="E20" s="22"/>
    </row>
    <row r="21" spans="2:5" ht="15.75" thickBot="1" x14ac:dyDescent="0.3">
      <c r="B21" s="12"/>
      <c r="C21" s="82"/>
      <c r="D21" s="83"/>
      <c r="E21" s="14"/>
    </row>
    <row r="22" spans="2:5" ht="15.75" thickTop="1" x14ac:dyDescent="0.25"/>
  </sheetData>
  <mergeCells count="9">
    <mergeCell ref="C18:D18"/>
    <mergeCell ref="C19:D19"/>
    <mergeCell ref="C20:D20"/>
    <mergeCell ref="C21:D21"/>
    <mergeCell ref="B2:E2"/>
    <mergeCell ref="B7:E7"/>
    <mergeCell ref="B15:E15"/>
    <mergeCell ref="C16:D16"/>
    <mergeCell ref="C17:D17"/>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1FD5-C80F-4EB7-A982-BC7D3CD79ADB}">
  <dimension ref="B1:P33"/>
  <sheetViews>
    <sheetView workbookViewId="0">
      <selection activeCell="C21" sqref="C21"/>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61" t="s">
        <v>83</v>
      </c>
      <c r="P2" s="72"/>
    </row>
    <row r="3" spans="2:16" x14ac:dyDescent="0.25">
      <c r="B3" s="15" t="s">
        <v>45</v>
      </c>
      <c r="C3" s="16" t="s">
        <v>46</v>
      </c>
      <c r="D3" s="16">
        <f>VLOOKUP(C3,Ligma!$B$3:$D$8,3,FALSE)</f>
        <v>3</v>
      </c>
      <c r="E3" s="16">
        <f>VLOOKUP(Ligma!$G$2,'uns dados aí'!$I$3:$J$22,2,FALSE)</f>
        <v>5</v>
      </c>
      <c r="F3" s="16" t="str">
        <f>IF(Tabela1[[#This Row],[Treinada?]]="sim",VLOOKUP(Ligma!$G$2,'uns dados aí'!$E$2:$F$4,2,TRUE),"")</f>
        <v/>
      </c>
      <c r="G3" s="16"/>
      <c r="H3" s="16"/>
      <c r="I3" s="16"/>
      <c r="J3" s="16">
        <f>SUM(Tabela1[[#This Row],[MOD]:[Bônus Habilidade]])-IF(Tabela1[[#This Row],[Penalidade de Armadura?]]="sim",Ligma!$D$16,0)</f>
        <v>8</v>
      </c>
      <c r="K3" s="16" t="s">
        <v>122</v>
      </c>
      <c r="L3" s="16" t="s">
        <v>47</v>
      </c>
      <c r="M3" s="17" t="s">
        <v>48</v>
      </c>
      <c r="O3" s="21" t="s">
        <v>33</v>
      </c>
      <c r="P3" s="22">
        <v>2</v>
      </c>
    </row>
    <row r="4" spans="2:16" x14ac:dyDescent="0.25">
      <c r="B4" s="7" t="s">
        <v>49</v>
      </c>
      <c r="C4" s="5" t="s">
        <v>50</v>
      </c>
      <c r="D4" s="5">
        <f>VLOOKUP(C4,Ligma!$B$3:$D$8,3,FALSE)</f>
        <v>3</v>
      </c>
      <c r="E4" s="5">
        <f>VLOOKUP(Ligma!$G$2,'uns dados aí'!$I$3:$J$22,2,FALSE)</f>
        <v>5</v>
      </c>
      <c r="F4" s="5" t="str">
        <f>IF(Tabela1[[#This Row],[Treinada?]]="sim",VLOOKUP(Ligma!$G$2,'uns dados aí'!$E$2:$F$4,2,TRUE),"")</f>
        <v/>
      </c>
      <c r="G4" s="5"/>
      <c r="H4" s="5"/>
      <c r="I4" s="5"/>
      <c r="J4" s="5">
        <f>SUM(Tabela1[[#This Row],[MOD]:[Bônus Habilidade]])-IF(Tabela1[[#This Row],[Penalidade de Armadura?]]="sim",Ligma!$D$16,0)</f>
        <v>8</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5</v>
      </c>
      <c r="F5" s="16" t="str">
        <f>IF(Tabela1[[#This Row],[Treinada?]]="sim",VLOOKUP(Ligma!$G$2,'uns dados aí'!$E$2:$F$4,2,TRUE),"")</f>
        <v/>
      </c>
      <c r="G5" s="16"/>
      <c r="H5" s="16"/>
      <c r="I5" s="16"/>
      <c r="J5" s="16">
        <f>SUM(Tabela1[[#This Row],[MOD]:[Bônus Habilidade]])-IF(Tabela1[[#This Row],[Penalidade de Armadura?]]="sim",Ligma!$D$16,0)</f>
        <v>7</v>
      </c>
      <c r="K5" s="16" t="s">
        <v>122</v>
      </c>
      <c r="L5" s="16" t="s">
        <v>47</v>
      </c>
      <c r="M5" s="17" t="s">
        <v>47</v>
      </c>
      <c r="O5" s="23" t="s">
        <v>84</v>
      </c>
      <c r="P5" s="24">
        <v>6</v>
      </c>
    </row>
    <row r="6" spans="2:16" ht="16.5" thickTop="1" thickBot="1" x14ac:dyDescent="0.3">
      <c r="B6" s="7" t="s">
        <v>53</v>
      </c>
      <c r="C6" s="5" t="s">
        <v>50</v>
      </c>
      <c r="D6" s="5">
        <f>VLOOKUP(C6,Ligma!$B$3:$D$8,3,FALSE)</f>
        <v>3</v>
      </c>
      <c r="E6" s="5">
        <f>VLOOKUP(Ligma!$G$2,'uns dados aí'!$I$3:$J$22,2,FALSE)</f>
        <v>5</v>
      </c>
      <c r="F6" s="5" t="str">
        <f>IF(Tabela1[[#This Row],[Treinada?]]="sim",VLOOKUP(Ligma!$G$2,'uns dados aí'!$E$2:$F$4,2,TRUE),"")</f>
        <v/>
      </c>
      <c r="G6" s="5"/>
      <c r="H6" s="5"/>
      <c r="I6" s="5"/>
      <c r="J6" s="5">
        <f>SUM(Tabela1[[#This Row],[MOD]:[Bônus Habilidade]])-IF(Tabela1[[#This Row],[Penalidade de Armadura?]]="sim",Ligma!$D$16,0)</f>
        <v>8</v>
      </c>
      <c r="K6" s="5" t="s">
        <v>122</v>
      </c>
      <c r="L6" s="5" t="s">
        <v>47</v>
      </c>
      <c r="M6" s="8" t="s">
        <v>47</v>
      </c>
    </row>
    <row r="7" spans="2:16" ht="15.75" customHeight="1" thickTop="1" x14ac:dyDescent="0.25">
      <c r="B7" s="15" t="s">
        <v>54</v>
      </c>
      <c r="C7" s="16" t="s">
        <v>46</v>
      </c>
      <c r="D7" s="16">
        <f>VLOOKUP(C7,Ligma!$B$3:$D$8,3,FALSE)</f>
        <v>3</v>
      </c>
      <c r="E7" s="16">
        <f>VLOOKUP(Ligma!$G$2,'uns dados aí'!$I$3:$J$22,2,FALSE)</f>
        <v>5</v>
      </c>
      <c r="F7" s="16" t="str">
        <f>IF(Tabela1[[#This Row],[Treinada?]]="sim",VLOOKUP(Ligma!$G$2,'uns dados aí'!$E$2:$F$4,2,TRUE),"")</f>
        <v/>
      </c>
      <c r="G7" s="16"/>
      <c r="H7" s="16"/>
      <c r="I7" s="16"/>
      <c r="J7" s="16">
        <f>SUM(Tabela1[[#This Row],[MOD]:[Bônus Habilidade]])-IF(Tabela1[[#This Row],[Penalidade de Armadura?]]="sim",Ligma!$D$16,0)</f>
        <v>8</v>
      </c>
      <c r="K7" s="16" t="s">
        <v>122</v>
      </c>
      <c r="L7" s="16" t="s">
        <v>47</v>
      </c>
      <c r="M7" s="17" t="s">
        <v>47</v>
      </c>
      <c r="O7" s="61" t="s">
        <v>111</v>
      </c>
      <c r="P7" s="72"/>
    </row>
    <row r="8" spans="2:16" ht="15" customHeight="1" x14ac:dyDescent="0.25">
      <c r="B8" s="7" t="s">
        <v>55</v>
      </c>
      <c r="C8" s="5" t="s">
        <v>56</v>
      </c>
      <c r="D8" s="5">
        <f>VLOOKUP(C8,Ligma!$B$3:$D$8,3,FALSE)</f>
        <v>6</v>
      </c>
      <c r="E8" s="5">
        <f>VLOOKUP(Ligma!$G$2,'uns dados aí'!$I$3:$J$22,2,FALSE)</f>
        <v>5</v>
      </c>
      <c r="F8" s="5">
        <f>IF(Tabela1[[#This Row],[Treinada?]]="sim",VLOOKUP(Ligma!$G$2,'uns dados aí'!$E$2:$F$4,2,TRUE),"")</f>
        <v>4</v>
      </c>
      <c r="G8" s="5"/>
      <c r="H8" s="5"/>
      <c r="I8" s="5"/>
      <c r="J8" s="5">
        <f>SUM(Tabela1[[#This Row],[MOD]:[Bônus Habilidade]])-IF(Tabela1[[#This Row],[Penalidade de Armadura?]]="sim",Ligma!$D$16,0)</f>
        <v>15</v>
      </c>
      <c r="K8" s="5" t="s">
        <v>48</v>
      </c>
      <c r="L8" s="5" t="s">
        <v>48</v>
      </c>
      <c r="M8" s="8" t="s">
        <v>47</v>
      </c>
      <c r="O8" s="21" t="s">
        <v>3</v>
      </c>
      <c r="P8" s="22">
        <f>VLOOKUP(O8,'uns dados aí'!$B$16:$E$22,4,FALSE)</f>
        <v>0</v>
      </c>
    </row>
    <row r="9" spans="2:16" x14ac:dyDescent="0.25">
      <c r="B9" s="15" t="s">
        <v>57</v>
      </c>
      <c r="C9" s="16" t="s">
        <v>58</v>
      </c>
      <c r="D9" s="16">
        <f>VLOOKUP(C9,Ligma!$B$3:$D$8,3,FALSE)</f>
        <v>4</v>
      </c>
      <c r="E9" s="16">
        <f>VLOOKUP(Ligma!$G$2,'uns dados aí'!$I$3:$J$22,2,FALSE)</f>
        <v>5</v>
      </c>
      <c r="F9" s="16">
        <f>IF(Tabela1[[#This Row],[Treinada?]]="sim",VLOOKUP(Ligma!$G$2,'uns dados aí'!$E$2:$F$4,2,TRUE),"")</f>
        <v>4</v>
      </c>
      <c r="G9" s="16"/>
      <c r="H9" s="16"/>
      <c r="I9" s="16"/>
      <c r="J9" s="16">
        <f>SUM(Tabela1[[#This Row],[MOD]:[Bônus Habilidade]])-IF(Tabela1[[#This Row],[Penalidade de Armadura?]]="sim",Ligma!$D$16,0)</f>
        <v>13</v>
      </c>
      <c r="K9" s="16" t="s">
        <v>48</v>
      </c>
      <c r="L9" s="16" t="s">
        <v>47</v>
      </c>
      <c r="M9" s="17" t="s">
        <v>47</v>
      </c>
      <c r="O9" s="4" t="s">
        <v>4</v>
      </c>
      <c r="P9" s="6">
        <f>VLOOKUP(O9,'uns dados aí'!$B$16:$E$22,4,FALSE)</f>
        <v>2</v>
      </c>
    </row>
    <row r="10" spans="2:16" x14ac:dyDescent="0.25">
      <c r="B10" s="7" t="s">
        <v>59</v>
      </c>
      <c r="C10" s="5" t="s">
        <v>50</v>
      </c>
      <c r="D10" s="5">
        <f>VLOOKUP(C10,Ligma!$B$3:$D$8,3,FALSE)</f>
        <v>3</v>
      </c>
      <c r="E10" s="5">
        <f>VLOOKUP(Ligma!$G$2,'uns dados aí'!$I$3:$J$22,2,FALSE)</f>
        <v>5</v>
      </c>
      <c r="F10" s="5" t="str">
        <f>IF(Tabela1[[#This Row],[Treinada?]]="sim",VLOOKUP(Ligma!$G$2,'uns dados aí'!$E$2:$F$4,2,TRUE),"")</f>
        <v/>
      </c>
      <c r="G10" s="5"/>
      <c r="H10" s="5"/>
      <c r="I10" s="5"/>
      <c r="J10" s="5">
        <f>SUM(Tabela1[[#This Row],[MOD]:[Bônus Habilidade]])-IF(Tabela1[[#This Row],[Penalidade de Armadura?]]="sim",Ligma!$D$16,0)</f>
        <v>8</v>
      </c>
      <c r="K10" s="5" t="s">
        <v>122</v>
      </c>
      <c r="L10" s="5" t="s">
        <v>47</v>
      </c>
      <c r="M10" s="8" t="s">
        <v>47</v>
      </c>
      <c r="O10" s="21" t="s">
        <v>12</v>
      </c>
      <c r="P10" s="22">
        <f>VLOOKUP(O10,'uns dados aí'!$B$16:$E$22,4,FALSE)</f>
        <v>-2</v>
      </c>
    </row>
    <row r="11" spans="2:16" x14ac:dyDescent="0.25">
      <c r="B11" s="15" t="s">
        <v>60</v>
      </c>
      <c r="C11" s="16" t="s">
        <v>50</v>
      </c>
      <c r="D11" s="16">
        <f>VLOOKUP(C11,Ligma!$B$3:$D$8,3,FALSE)</f>
        <v>3</v>
      </c>
      <c r="E11" s="16">
        <f>VLOOKUP(Ligma!$G$2,'uns dados aí'!$I$3:$J$22,2,FALSE)</f>
        <v>5</v>
      </c>
      <c r="F11" s="16" t="str">
        <f>IF(Tabela1[[#This Row],[Treinada?]]="sim",VLOOKUP(Ligma!$G$2,'uns dados aí'!$E$2:$F$4,2,TRUE),"")</f>
        <v/>
      </c>
      <c r="G11" s="16"/>
      <c r="H11" s="16"/>
      <c r="I11" s="16"/>
      <c r="J11" s="16">
        <f>SUM(Tabela1[[#This Row],[MOD]:[Bônus Habilidade]])-IF(Tabela1[[#This Row],[Penalidade de Armadura?]]="sim",Ligma!$D$16,0)</f>
        <v>8</v>
      </c>
      <c r="K11" s="16" t="s">
        <v>122</v>
      </c>
      <c r="L11" s="16" t="s">
        <v>47</v>
      </c>
      <c r="M11" s="17" t="s">
        <v>47</v>
      </c>
      <c r="O11" s="4" t="s">
        <v>5</v>
      </c>
      <c r="P11" s="6">
        <f>VLOOKUP(O11,'uns dados aí'!$B$16:$E$22,4,FALSE)</f>
        <v>6</v>
      </c>
    </row>
    <row r="12" spans="2:16" x14ac:dyDescent="0.25">
      <c r="B12" s="7" t="s">
        <v>61</v>
      </c>
      <c r="C12" s="5" t="s">
        <v>62</v>
      </c>
      <c r="D12" s="5">
        <f>VLOOKUP(C12,Ligma!$B$3:$D$8,3,FALSE)</f>
        <v>1</v>
      </c>
      <c r="E12" s="5">
        <f>VLOOKUP(Ligma!$G$2,'uns dados aí'!$I$3:$J$22,2,FALSE)</f>
        <v>5</v>
      </c>
      <c r="F12" s="5" t="str">
        <f>IF(Tabela1[[#This Row],[Treinada?]]="sim",VLOOKUP(Ligma!$G$2,'uns dados aí'!$E$2:$F$4,2,TRUE),"")</f>
        <v/>
      </c>
      <c r="G12" s="5"/>
      <c r="H12" s="5"/>
      <c r="I12" s="5"/>
      <c r="J12" s="5">
        <f>SUM(Tabela1[[#This Row],[MOD]:[Bônus Habilidade]])-IF(Tabela1[[#This Row],[Penalidade de Armadura?]]="sim",Ligma!$D$16,0)</f>
        <v>6</v>
      </c>
      <c r="K12" s="5" t="s">
        <v>122</v>
      </c>
      <c r="L12" s="5" t="s">
        <v>47</v>
      </c>
      <c r="M12" s="8" t="s">
        <v>47</v>
      </c>
      <c r="O12" s="21" t="s">
        <v>6</v>
      </c>
      <c r="P12" s="22">
        <f>VLOOKUP(O12,'uns dados aí'!$B$16:$E$22,4,FALSE)</f>
        <v>2</v>
      </c>
    </row>
    <row r="13" spans="2:16" ht="15.75" thickBot="1" x14ac:dyDescent="0.3">
      <c r="B13" s="15" t="s">
        <v>63</v>
      </c>
      <c r="C13" s="16" t="s">
        <v>46</v>
      </c>
      <c r="D13" s="16">
        <f>VLOOKUP(C13,Ligma!$B$3:$D$8,3,FALSE)</f>
        <v>3</v>
      </c>
      <c r="E13" s="16">
        <f>VLOOKUP(Ligma!$G$2,'uns dados aí'!$I$3:$J$22,2,FALSE)</f>
        <v>5</v>
      </c>
      <c r="F13" s="16" t="str">
        <f>IF(Tabela1[[#This Row],[Treinada?]]="sim",VLOOKUP(Ligma!$G$2,'uns dados aí'!$E$2:$F$4,2,TRUE),"")</f>
        <v/>
      </c>
      <c r="G13" s="16"/>
      <c r="H13" s="16"/>
      <c r="I13" s="16"/>
      <c r="J13" s="16">
        <f>SUM(Tabela1[[#This Row],[MOD]:[Bônus Habilidade]])-IF(Tabela1[[#This Row],[Penalidade de Armadura?]]="sim",Ligma!$D$16,0)</f>
        <v>8</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5</v>
      </c>
      <c r="F14" s="5">
        <f>IF(Tabela1[[#This Row],[Treinada?]]="sim",VLOOKUP(Ligma!$G$2,'uns dados aí'!$E$2:$F$4,2,TRUE),"")</f>
        <v>4</v>
      </c>
      <c r="G14" s="5"/>
      <c r="H14" s="5">
        <v>1</v>
      </c>
      <c r="I14" s="5"/>
      <c r="J14" s="5">
        <f>SUM(Tabela1[[#This Row],[MOD]:[Bônus Habilidade]])-IF(Tabela1[[#This Row],[Penalidade de Armadura?]]="sim",Ligma!$D$16,0)</f>
        <v>16</v>
      </c>
      <c r="K14" s="5" t="s">
        <v>48</v>
      </c>
      <c r="L14" s="5" t="s">
        <v>48</v>
      </c>
      <c r="M14" s="8" t="s">
        <v>47</v>
      </c>
    </row>
    <row r="15" spans="2:16" x14ac:dyDescent="0.25">
      <c r="B15" s="15" t="s">
        <v>65</v>
      </c>
      <c r="C15" s="16" t="s">
        <v>46</v>
      </c>
      <c r="D15" s="16">
        <f>VLOOKUP(C15,Ligma!$B$3:$D$8,3,FALSE)</f>
        <v>3</v>
      </c>
      <c r="E15" s="16">
        <f>VLOOKUP(Ligma!$G$2,'uns dados aí'!$I$3:$J$22,2,FALSE)</f>
        <v>5</v>
      </c>
      <c r="F15" s="16" t="str">
        <f>IF(Tabela1[[#This Row],[Treinada?]]="sim",VLOOKUP(Ligma!$G$2,'uns dados aí'!$E$2:$F$4,2,TRUE),"")</f>
        <v/>
      </c>
      <c r="G15" s="16"/>
      <c r="H15" s="16"/>
      <c r="I15" s="16"/>
      <c r="J15" s="16">
        <f>SUM(Tabela1[[#This Row],[MOD]:[Bônus Habilidade]])-IF(Tabela1[[#This Row],[Penalidade de Armadura?]]="sim",Ligma!$D$16,0)</f>
        <v>8</v>
      </c>
      <c r="K15" s="16" t="s">
        <v>122</v>
      </c>
      <c r="L15" s="16" t="s">
        <v>47</v>
      </c>
      <c r="M15" s="17" t="s">
        <v>47</v>
      </c>
    </row>
    <row r="16" spans="2:16" x14ac:dyDescent="0.25">
      <c r="B16" s="7" t="s">
        <v>66</v>
      </c>
      <c r="C16" s="5" t="s">
        <v>50</v>
      </c>
      <c r="D16" s="5">
        <f>VLOOKUP(C16,Ligma!$B$3:$D$8,3,FALSE)</f>
        <v>3</v>
      </c>
      <c r="E16" s="5">
        <f>VLOOKUP(Ligma!$G$2,'uns dados aí'!$I$3:$J$22,2,FALSE)</f>
        <v>5</v>
      </c>
      <c r="F16" s="5" t="str">
        <f>IF(Tabela1[[#This Row],[Treinada?]]="sim",VLOOKUP(Ligma!$G$2,'uns dados aí'!$E$2:$F$4,2,TRUE),"")</f>
        <v/>
      </c>
      <c r="G16" s="5"/>
      <c r="H16" s="5"/>
      <c r="I16" s="5"/>
      <c r="J16" s="5">
        <f>SUM(Tabela1[[#This Row],[MOD]:[Bônus Habilidade]])-IF(Tabela1[[#This Row],[Penalidade de Armadura?]]="sim",Ligma!$D$16,0)</f>
        <v>8</v>
      </c>
      <c r="K16" s="5" t="s">
        <v>122</v>
      </c>
      <c r="L16" s="5" t="s">
        <v>47</v>
      </c>
      <c r="M16" s="8" t="s">
        <v>47</v>
      </c>
    </row>
    <row r="17" spans="2:13" x14ac:dyDescent="0.25">
      <c r="B17" s="15" t="s">
        <v>67</v>
      </c>
      <c r="C17" s="16" t="s">
        <v>58</v>
      </c>
      <c r="D17" s="16">
        <f>VLOOKUP(C17,Ligma!$B$3:$D$8,3,FALSE)</f>
        <v>4</v>
      </c>
      <c r="E17" s="16">
        <f>VLOOKUP(Ligma!$G$2,'uns dados aí'!$I$3:$J$22,2,FALSE)</f>
        <v>5</v>
      </c>
      <c r="F17" s="16" t="str">
        <f>IF(Tabela1[[#This Row],[Treinada?]]="sim",VLOOKUP(Ligma!$G$2,'uns dados aí'!$E$2:$F$4,2,TRUE),"")</f>
        <v/>
      </c>
      <c r="G17" s="16"/>
      <c r="H17" s="16"/>
      <c r="I17" s="16"/>
      <c r="J17" s="16">
        <f>SUM(Tabela1[[#This Row],[MOD]:[Bônus Habilidade]])-IF(Tabela1[[#This Row],[Penalidade de Armadura?]]="sim",Ligma!$D$16,0)</f>
        <v>9</v>
      </c>
      <c r="K17" s="16" t="s">
        <v>122</v>
      </c>
      <c r="L17" s="16" t="s">
        <v>47</v>
      </c>
      <c r="M17" s="17" t="s">
        <v>47</v>
      </c>
    </row>
    <row r="18" spans="2:13" x14ac:dyDescent="0.25">
      <c r="B18" s="7" t="s">
        <v>68</v>
      </c>
      <c r="C18" s="5" t="s">
        <v>56</v>
      </c>
      <c r="D18" s="5">
        <f>VLOOKUP(C18,Ligma!$B$3:$D$8,3,FALSE)</f>
        <v>6</v>
      </c>
      <c r="E18" s="5">
        <f>VLOOKUP(Ligma!$G$2,'uns dados aí'!$I$3:$J$22,2,FALSE)</f>
        <v>5</v>
      </c>
      <c r="F18" s="5">
        <f>IF(Tabela1[[#This Row],[Treinada?]]="sim",VLOOKUP(Ligma!$G$2,'uns dados aí'!$E$2:$F$4,2,TRUE),"")</f>
        <v>4</v>
      </c>
      <c r="G18" s="5"/>
      <c r="H18" s="5"/>
      <c r="I18" s="5"/>
      <c r="J18" s="5">
        <f>SUM(Tabela1[[#This Row],[MOD]:[Bônus Habilidade]])-IF(Tabela1[[#This Row],[Penalidade de Armadura?]]="sim",Ligma!$D$16,0)</f>
        <v>15</v>
      </c>
      <c r="K18" s="5" t="s">
        <v>48</v>
      </c>
      <c r="L18" s="5" t="s">
        <v>47</v>
      </c>
      <c r="M18" s="8" t="s">
        <v>47</v>
      </c>
    </row>
    <row r="19" spans="2:13" x14ac:dyDescent="0.25">
      <c r="B19" s="15" t="s">
        <v>69</v>
      </c>
      <c r="C19" s="16" t="s">
        <v>50</v>
      </c>
      <c r="D19" s="16">
        <f>VLOOKUP(C19,Ligma!$B$3:$D$8,3,FALSE)</f>
        <v>3</v>
      </c>
      <c r="E19" s="16">
        <f>VLOOKUP(Ligma!$G$2,'uns dados aí'!$I$3:$J$22,2,FALSE)</f>
        <v>5</v>
      </c>
      <c r="F19" s="16" t="str">
        <f>IF(Tabela1[[#This Row],[Treinada?]]="sim",VLOOKUP(Ligma!$G$2,'uns dados aí'!$E$2:$F$4,2,TRUE),"")</f>
        <v/>
      </c>
      <c r="G19" s="16"/>
      <c r="H19" s="16"/>
      <c r="I19" s="16"/>
      <c r="J19" s="16">
        <f>SUM(Tabela1[[#This Row],[MOD]:[Bônus Habilidade]])-IF(Tabela1[[#This Row],[Penalidade de Armadura?]]="sim",Ligma!$D$16,0)</f>
        <v>8</v>
      </c>
      <c r="K19" s="16" t="s">
        <v>122</v>
      </c>
      <c r="L19" s="16" t="s">
        <v>48</v>
      </c>
      <c r="M19" s="17" t="s">
        <v>47</v>
      </c>
    </row>
    <row r="20" spans="2:13" x14ac:dyDescent="0.25">
      <c r="B20" s="7" t="s">
        <v>70</v>
      </c>
      <c r="C20" s="5" t="s">
        <v>46</v>
      </c>
      <c r="D20" s="5">
        <f>VLOOKUP(C20,Ligma!$B$3:$D$8,3,FALSE)</f>
        <v>3</v>
      </c>
      <c r="E20" s="5">
        <f>VLOOKUP(Ligma!$G$2,'uns dados aí'!$I$3:$J$22,2,FALSE)</f>
        <v>5</v>
      </c>
      <c r="F20" s="5" t="str">
        <f>IF(Tabela1[[#This Row],[Treinada?]]="sim",VLOOKUP(Ligma!$G$2,'uns dados aí'!$E$2:$F$4,2,TRUE),"")</f>
        <v/>
      </c>
      <c r="G20" s="5"/>
      <c r="H20" s="5"/>
      <c r="I20" s="5"/>
      <c r="J20" s="5">
        <f>SUM(Tabela1[[#This Row],[MOD]:[Bônus Habilidade]])-IF(Tabela1[[#This Row],[Penalidade de Armadura?]]="sim",Ligma!$D$16,0)</f>
        <v>8</v>
      </c>
      <c r="K20" s="5" t="s">
        <v>122</v>
      </c>
      <c r="L20" s="5" t="s">
        <v>48</v>
      </c>
      <c r="M20" s="8" t="s">
        <v>48</v>
      </c>
    </row>
    <row r="21" spans="2:13" x14ac:dyDescent="0.25">
      <c r="B21" s="15" t="s">
        <v>71</v>
      </c>
      <c r="C21" s="16" t="s">
        <v>52</v>
      </c>
      <c r="D21" s="16">
        <f>VLOOKUP(C21,Ligma!$B$3:$D$8,3,FALSE)</f>
        <v>2</v>
      </c>
      <c r="E21" s="16">
        <f>VLOOKUP(Ligma!$G$2,'uns dados aí'!$I$3:$J$22,2,FALSE)</f>
        <v>5</v>
      </c>
      <c r="F21" s="16">
        <f>IF(Tabela1[[#This Row],[Treinada?]]="sim",VLOOKUP(Ligma!$G$2,'uns dados aí'!$E$2:$F$4,2,TRUE),"")</f>
        <v>4</v>
      </c>
      <c r="G21" s="16"/>
      <c r="H21" s="16"/>
      <c r="I21" s="16"/>
      <c r="J21" s="16">
        <f>SUM(Tabela1[[#This Row],[MOD]:[Bônus Habilidade]])-IF(Tabela1[[#This Row],[Penalidade de Armadura?]]="sim",Ligma!$D$16,0)</f>
        <v>11</v>
      </c>
      <c r="K21" s="16" t="s">
        <v>48</v>
      </c>
      <c r="L21" s="16" t="s">
        <v>47</v>
      </c>
      <c r="M21" s="17" t="s">
        <v>47</v>
      </c>
    </row>
    <row r="22" spans="2:13" x14ac:dyDescent="0.25">
      <c r="B22" s="7" t="s">
        <v>72</v>
      </c>
      <c r="C22" s="5" t="s">
        <v>56</v>
      </c>
      <c r="D22" s="5">
        <f>VLOOKUP(C22,Ligma!$B$3:$D$8,3,FALSE)</f>
        <v>6</v>
      </c>
      <c r="E22" s="5">
        <f>VLOOKUP(Ligma!$G$2,'uns dados aí'!$I$3:$J$22,2,FALSE)</f>
        <v>5</v>
      </c>
      <c r="F22" s="5">
        <f>IF(Tabela1[[#This Row],[Treinada?]]="sim",VLOOKUP(Ligma!$G$2,'uns dados aí'!$E$2:$F$4,2,TRUE),"")</f>
        <v>4</v>
      </c>
      <c r="G22" s="5">
        <v>2</v>
      </c>
      <c r="H22" s="5"/>
      <c r="I22" s="5"/>
      <c r="J22" s="5">
        <f>SUM(Tabela1[[#This Row],[MOD]:[Bônus Habilidade]])-IF(Tabela1[[#This Row],[Penalidade de Armadura?]]="sim",Ligma!$D$16,0)</f>
        <v>17</v>
      </c>
      <c r="K22" s="5" t="s">
        <v>48</v>
      </c>
      <c r="L22" s="5" t="s">
        <v>48</v>
      </c>
      <c r="M22" s="8" t="s">
        <v>47</v>
      </c>
    </row>
    <row r="23" spans="2:13" x14ac:dyDescent="0.25">
      <c r="B23" s="15" t="s">
        <v>73</v>
      </c>
      <c r="C23" s="16" t="s">
        <v>56</v>
      </c>
      <c r="D23" s="16">
        <f>VLOOKUP(C23,Ligma!$B$3:$D$8,3,FALSE)</f>
        <v>6</v>
      </c>
      <c r="E23" s="16">
        <f>VLOOKUP(Ligma!$G$2,'uns dados aí'!$I$3:$J$22,2,FALSE)</f>
        <v>5</v>
      </c>
      <c r="F23" s="16" t="str">
        <f>IF(Tabela1[[#This Row],[Treinada?]]="sim",VLOOKUP(Ligma!$G$2,'uns dados aí'!$E$2:$F$4,2,TRUE),"")</f>
        <v/>
      </c>
      <c r="G23" s="16"/>
      <c r="H23" s="16"/>
      <c r="I23" s="16"/>
      <c r="J23" s="16">
        <f>SUM(Tabela1[[#This Row],[MOD]:[Bônus Habilidade]])-IF(Tabela1[[#This Row],[Penalidade de Armadura?]]="sim",Ligma!$D$16,0)</f>
        <v>11</v>
      </c>
      <c r="K23" s="16" t="s">
        <v>122</v>
      </c>
      <c r="L23" s="16" t="s">
        <v>48</v>
      </c>
      <c r="M23" s="17" t="s">
        <v>47</v>
      </c>
    </row>
    <row r="24" spans="2:13" x14ac:dyDescent="0.25">
      <c r="B24" s="7" t="s">
        <v>115</v>
      </c>
      <c r="C24" s="5" t="s">
        <v>56</v>
      </c>
      <c r="D24" s="5">
        <f>VLOOKUP(C24,Ligma!$B$3:$D$8,3,FALSE)</f>
        <v>6</v>
      </c>
      <c r="E24" s="5">
        <f>VLOOKUP(Ligma!$G$2,'uns dados aí'!$I$3:$J$22,2,FALSE)</f>
        <v>5</v>
      </c>
      <c r="F24" s="5">
        <f>IF(Tabela1[[#This Row],[Treinada?]]="sim",VLOOKUP(Ligma!$G$2,'uns dados aí'!$E$2:$F$4,2,TRUE),"")</f>
        <v>4</v>
      </c>
      <c r="G24" s="5"/>
      <c r="H24" s="5"/>
      <c r="I24" s="5"/>
      <c r="J24" s="5">
        <f>SUM(Tabela1[[#This Row],[MOD]:[Bônus Habilidade]])-IF(Tabela1[[#This Row],[Penalidade de Armadura?]]="sim",Ligma!$D$16,0)</f>
        <v>15</v>
      </c>
      <c r="K24" s="5" t="s">
        <v>48</v>
      </c>
      <c r="L24" s="5" t="s">
        <v>48</v>
      </c>
      <c r="M24" s="8" t="s">
        <v>47</v>
      </c>
    </row>
    <row r="25" spans="2:13" x14ac:dyDescent="0.25">
      <c r="B25" s="15" t="s">
        <v>116</v>
      </c>
      <c r="C25" s="16" t="s">
        <v>56</v>
      </c>
      <c r="D25" s="16">
        <f>VLOOKUP(C25,Ligma!$B$3:$D$8,3,FALSE)</f>
        <v>6</v>
      </c>
      <c r="E25" s="16">
        <f>VLOOKUP(Ligma!$G$2,'uns dados aí'!$I$3:$J$22,2,FALSE)</f>
        <v>5</v>
      </c>
      <c r="F25" s="16">
        <f>IF(Tabela1[[#This Row],[Treinada?]]="sim",VLOOKUP(Ligma!$G$2,'uns dados aí'!$E$2:$F$4,2,TRUE),"")</f>
        <v>4</v>
      </c>
      <c r="G25" s="16"/>
      <c r="H25" s="16"/>
      <c r="I25" s="16"/>
      <c r="J25" s="16">
        <f>SUM(Tabela1[[#This Row],[MOD]:[Bônus Habilidade]])-IF(Tabela1[[#This Row],[Penalidade de Armadura?]]="sim",Ligma!$D$16,0)</f>
        <v>15</v>
      </c>
      <c r="K25" s="16" t="s">
        <v>48</v>
      </c>
      <c r="L25" s="16" t="s">
        <v>48</v>
      </c>
      <c r="M25" s="17" t="s">
        <v>47</v>
      </c>
    </row>
    <row r="26" spans="2:13" x14ac:dyDescent="0.25">
      <c r="B26" s="44" t="s">
        <v>114</v>
      </c>
      <c r="C26" s="5" t="s">
        <v>56</v>
      </c>
      <c r="D26" s="5">
        <f>VLOOKUP(C26,Ligma!$B$3:$D$8,3,FALSE)</f>
        <v>6</v>
      </c>
      <c r="E26" s="5">
        <f>VLOOKUP(Ligma!$G$2,'uns dados aí'!$I$3:$J$22,2,FALSE)</f>
        <v>5</v>
      </c>
      <c r="F26" s="5">
        <f>IF(Tabela1[[#This Row],[Treinada?]]="sim",VLOOKUP(Ligma!$G$2,'uns dados aí'!$E$2:$F$4,2,TRUE),"")</f>
        <v>4</v>
      </c>
      <c r="G26" s="5"/>
      <c r="H26" s="5"/>
      <c r="I26" s="5"/>
      <c r="J26" s="5">
        <f>SUM(Tabela1[[#This Row],[MOD]:[Bônus Habilidade]])-IF(Tabela1[[#This Row],[Penalidade de Armadura?]]="sim",Ligma!$D$16,0)</f>
        <v>15</v>
      </c>
      <c r="K26" s="5" t="s">
        <v>48</v>
      </c>
      <c r="L26" s="5" t="s">
        <v>48</v>
      </c>
      <c r="M26" s="8" t="s">
        <v>47</v>
      </c>
    </row>
    <row r="27" spans="2:13" x14ac:dyDescent="0.25">
      <c r="B27" s="15" t="s">
        <v>74</v>
      </c>
      <c r="C27" s="16" t="s">
        <v>58</v>
      </c>
      <c r="D27" s="16">
        <f>VLOOKUP(C27,Ligma!$B$3:$D$8,3,FALSE)</f>
        <v>4</v>
      </c>
      <c r="E27" s="16">
        <f>VLOOKUP(Ligma!$G$2,'uns dados aí'!$I$3:$J$22,2,FALSE)</f>
        <v>5</v>
      </c>
      <c r="F27" s="16">
        <f>IF(Tabela1[[#This Row],[Treinada?]]="sim",VLOOKUP(Ligma!$G$2,'uns dados aí'!$E$2:$F$4,2,TRUE),"")</f>
        <v>4</v>
      </c>
      <c r="G27" s="16">
        <v>2</v>
      </c>
      <c r="H27" s="16"/>
      <c r="I27" s="16"/>
      <c r="J27" s="16">
        <f>SUM(Tabela1[[#This Row],[MOD]:[Bônus Habilidade]])-IF(Tabela1[[#This Row],[Penalidade de Armadura?]]="sim",Ligma!$D$16,0)</f>
        <v>15</v>
      </c>
      <c r="K27" s="16" t="s">
        <v>48</v>
      </c>
      <c r="L27" s="16" t="s">
        <v>47</v>
      </c>
      <c r="M27" s="17" t="s">
        <v>47</v>
      </c>
    </row>
    <row r="28" spans="2:13" x14ac:dyDescent="0.25">
      <c r="B28" s="7" t="s">
        <v>75</v>
      </c>
      <c r="C28" s="5" t="s">
        <v>46</v>
      </c>
      <c r="D28" s="5">
        <f>VLOOKUP(C28,Ligma!$B$3:$D$8,3,FALSE)</f>
        <v>3</v>
      </c>
      <c r="E28" s="5">
        <f>VLOOKUP(Ligma!$G$2,'uns dados aí'!$I$3:$J$22,2,FALSE)</f>
        <v>5</v>
      </c>
      <c r="F28" s="5" t="str">
        <f>IF(Tabela1[[#This Row],[Treinada?]]="sim",VLOOKUP(Ligma!$G$2,'uns dados aí'!$E$2:$F$4,2,TRUE),"")</f>
        <v/>
      </c>
      <c r="G28" s="5"/>
      <c r="H28" s="5"/>
      <c r="I28" s="5"/>
      <c r="J28" s="5">
        <f>SUM(Tabela1[[#This Row],[MOD]:[Bônus Habilidade]])-IF(Tabela1[[#This Row],[Penalidade de Armadura?]]="sim",Ligma!$D$16,0)</f>
        <v>8</v>
      </c>
      <c r="K28" s="5" t="s">
        <v>122</v>
      </c>
      <c r="L28" s="5" t="s">
        <v>48</v>
      </c>
      <c r="M28" s="8" t="s">
        <v>47</v>
      </c>
    </row>
    <row r="29" spans="2:13" x14ac:dyDescent="0.25">
      <c r="B29" s="15" t="s">
        <v>76</v>
      </c>
      <c r="C29" s="16" t="s">
        <v>46</v>
      </c>
      <c r="D29" s="16">
        <f>VLOOKUP(C29,Ligma!$B$3:$D$8,3,FALSE)</f>
        <v>3</v>
      </c>
      <c r="E29" s="16">
        <f>VLOOKUP(Ligma!$G$2,'uns dados aí'!$I$3:$J$22,2,FALSE)</f>
        <v>5</v>
      </c>
      <c r="F29" s="16" t="str">
        <f>IF(Tabela1[[#This Row],[Treinada?]]="sim",VLOOKUP(Ligma!$G$2,'uns dados aí'!$E$2:$F$4,2,TRUE),"")</f>
        <v/>
      </c>
      <c r="G29" s="16"/>
      <c r="H29" s="16"/>
      <c r="I29" s="16"/>
      <c r="J29" s="16">
        <f>SUM(Tabela1[[#This Row],[MOD]:[Bônus Habilidade]])-IF(Tabela1[[#This Row],[Penalidade de Armadura?]]="sim",Ligma!$D$16,0)</f>
        <v>8</v>
      </c>
      <c r="K29" s="16" t="s">
        <v>122</v>
      </c>
      <c r="L29" s="16" t="s">
        <v>47</v>
      </c>
      <c r="M29" s="17" t="s">
        <v>47</v>
      </c>
    </row>
    <row r="30" spans="2:13" x14ac:dyDescent="0.25">
      <c r="B30" s="7" t="s">
        <v>77</v>
      </c>
      <c r="C30" s="5" t="s">
        <v>46</v>
      </c>
      <c r="D30" s="5">
        <f>VLOOKUP(C30,Ligma!$B$3:$D$8,3,FALSE)</f>
        <v>3</v>
      </c>
      <c r="E30" s="5">
        <f>VLOOKUP(Ligma!$G$2,'uns dados aí'!$I$3:$J$22,2,FALSE)</f>
        <v>5</v>
      </c>
      <c r="F30" s="5">
        <f>IF(Tabela1[[#This Row],[Treinada?]]="sim",VLOOKUP(Ligma!$G$2,'uns dados aí'!$E$2:$F$4,2,TRUE),"")</f>
        <v>4</v>
      </c>
      <c r="G30" s="5"/>
      <c r="H30" s="5"/>
      <c r="I30" s="5"/>
      <c r="J30" s="5">
        <f>SUM(Tabela1[[#This Row],[MOD]:[Bônus Habilidade]])-IF(Tabela1[[#This Row],[Penalidade de Armadura?]]="sim",Ligma!$D$16,0)</f>
        <v>12</v>
      </c>
      <c r="K30" s="5" t="s">
        <v>48</v>
      </c>
      <c r="L30" s="5" t="s">
        <v>47</v>
      </c>
      <c r="M30" s="8" t="s">
        <v>47</v>
      </c>
    </row>
    <row r="31" spans="2:13" x14ac:dyDescent="0.25">
      <c r="B31" s="15" t="s">
        <v>78</v>
      </c>
      <c r="C31" s="16" t="s">
        <v>58</v>
      </c>
      <c r="D31" s="16">
        <f>VLOOKUP(C31,Ligma!$B$3:$D$8,3,FALSE)</f>
        <v>4</v>
      </c>
      <c r="E31" s="16">
        <f>VLOOKUP(Ligma!$G$2,'uns dados aí'!$I$3:$J$22,2,FALSE)</f>
        <v>5</v>
      </c>
      <c r="F31" s="16">
        <f>IF(Tabela1[[#This Row],[Treinada?]]="sim",VLOOKUP(Ligma!$G$2,'uns dados aí'!$E$2:$F$4,2,TRUE),"")</f>
        <v>4</v>
      </c>
      <c r="G31" s="16"/>
      <c r="H31" s="16"/>
      <c r="I31" s="16"/>
      <c r="J31" s="16">
        <f>SUM(Tabela1[[#This Row],[MOD]:[Bônus Habilidade]])-IF(Tabela1[[#This Row],[Penalidade de Armadura?]]="sim",Ligma!$D$16,0)</f>
        <v>13</v>
      </c>
      <c r="K31" s="16" t="s">
        <v>48</v>
      </c>
      <c r="L31" s="16" t="s">
        <v>48</v>
      </c>
      <c r="M31" s="17" t="s">
        <v>47</v>
      </c>
    </row>
    <row r="32" spans="2:13" x14ac:dyDescent="0.25">
      <c r="B32" s="7" t="s">
        <v>79</v>
      </c>
      <c r="C32" s="5" t="s">
        <v>58</v>
      </c>
      <c r="D32" s="5">
        <f>VLOOKUP(C32,Ligma!$B$3:$D$8,3,FALSE)</f>
        <v>4</v>
      </c>
      <c r="E32" s="5">
        <f>VLOOKUP(Ligma!$G$2,'uns dados aí'!$I$3:$J$22,2,FALSE)</f>
        <v>5</v>
      </c>
      <c r="F32" s="5" t="str">
        <f>IF(Tabela1[[#This Row],[Treinada?]]="sim",VLOOKUP(Ligma!$G$2,'uns dados aí'!$E$2:$F$4,2,TRUE),"")</f>
        <v/>
      </c>
      <c r="G32" s="5"/>
      <c r="H32" s="5"/>
      <c r="I32" s="5"/>
      <c r="J32" s="5">
        <f>SUM(Tabela1[[#This Row],[MOD]:[Bônus Habilidade]])-IF(Tabela1[[#This Row],[Penalidade de Armadura?]]="sim",Ligma!$D$16,0)</f>
        <v>9</v>
      </c>
      <c r="K32" s="5" t="s">
        <v>122</v>
      </c>
      <c r="L32" s="5" t="s">
        <v>47</v>
      </c>
      <c r="M32" s="8" t="s">
        <v>47</v>
      </c>
    </row>
    <row r="33" spans="2:13" x14ac:dyDescent="0.25">
      <c r="B33" s="18" t="s">
        <v>80</v>
      </c>
      <c r="C33" s="19" t="s">
        <v>58</v>
      </c>
      <c r="D33" s="19">
        <f>VLOOKUP(C33,Ligma!$B$3:$D$8,3,FALSE)</f>
        <v>4</v>
      </c>
      <c r="E33" s="19">
        <f>VLOOKUP(Ligma!$G$2,'uns dados aí'!$I$3:$J$22,2,FALSE)</f>
        <v>5</v>
      </c>
      <c r="F33" s="19">
        <f>IF(Tabela1[[#This Row],[Treinada?]]="sim",VLOOKUP(Ligma!$G$2,'uns dados aí'!$E$2:$F$4,2,TRUE),"")</f>
        <v>4</v>
      </c>
      <c r="G33" s="19"/>
      <c r="H33" s="19"/>
      <c r="I33" s="19"/>
      <c r="J33" s="19">
        <f>SUM(Tabela1[[#This Row],[MOD]:[Bônus Habilidade]])-IF(Tabela1[[#This Row],[Penalidade de Armadura?]]="sim",Ligma!$D$16,0)</f>
        <v>13</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980-A107-4828-85BA-75FA355B6483}">
  <dimension ref="B1:P33"/>
  <sheetViews>
    <sheetView workbookViewId="0">
      <selection activeCell="O24" sqref="O24"/>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61" t="s">
        <v>83</v>
      </c>
      <c r="P2" s="72"/>
    </row>
    <row r="3" spans="2:16" x14ac:dyDescent="0.25">
      <c r="B3" s="15" t="s">
        <v>45</v>
      </c>
      <c r="C3" s="16" t="s">
        <v>46</v>
      </c>
      <c r="D3" s="16">
        <f>VLOOKUP(C3,Ligma!$B$3:$D$8,3,FALSE)</f>
        <v>3</v>
      </c>
      <c r="E3" s="16">
        <f>VLOOKUP(Ligma!$G$2,'uns dados aí'!$I$3:$J$22,2,FALSE)</f>
        <v>5</v>
      </c>
      <c r="F3" s="16" t="str">
        <f>IF(Tabela14[[#This Row],[Treinada?]]="sim",VLOOKUP(Ligma!$G$2,'uns dados aí'!$E$2:$F$4,2,TRUE),"")</f>
        <v/>
      </c>
      <c r="G3" s="16"/>
      <c r="H3" s="16"/>
      <c r="I3" s="16"/>
      <c r="J3" s="16">
        <f>SUM(Tabela14[[#This Row],[MOD]:[Bônus Habilidade]])-IF(Tabela14[[#This Row],[Penalidade de Armadura?]]="sim",Ligma!D16,0)</f>
        <v>8</v>
      </c>
      <c r="K3" s="16" t="s">
        <v>122</v>
      </c>
      <c r="L3" s="16" t="s">
        <v>47</v>
      </c>
      <c r="M3" s="17" t="s">
        <v>48</v>
      </c>
      <c r="O3" s="21" t="s">
        <v>33</v>
      </c>
      <c r="P3" s="22">
        <v>2</v>
      </c>
    </row>
    <row r="4" spans="2:16" x14ac:dyDescent="0.25">
      <c r="B4" s="7" t="s">
        <v>49</v>
      </c>
      <c r="C4" s="5" t="s">
        <v>50</v>
      </c>
      <c r="D4" s="5">
        <f>VLOOKUP(C4,Ligma!$B$3:$D$8,3,FALSE)</f>
        <v>3</v>
      </c>
      <c r="E4" s="5">
        <f>VLOOKUP(Ligma!$G$2,'uns dados aí'!$I$3:$J$22,2,FALSE)</f>
        <v>5</v>
      </c>
      <c r="F4" s="5" t="str">
        <f>IF(Tabela14[[#This Row],[Treinada?]]="sim",VLOOKUP(Ligma!$G$2,'uns dados aí'!$E$2:$F$4,2,TRUE),"")</f>
        <v/>
      </c>
      <c r="G4" s="5"/>
      <c r="H4" s="5"/>
      <c r="I4" s="5"/>
      <c r="J4" s="5">
        <f>SUM(Tabela14[[#This Row],[MOD]:[Bônus Habilidade]])-IF(Tabela14[[#This Row],[Penalidade de Armadura?]]="sim",Ligma!D17,0)</f>
        <v>8</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5</v>
      </c>
      <c r="F5" s="16" t="str">
        <f>IF(Tabela14[[#This Row],[Treinada?]]="sim",VLOOKUP(Ligma!$G$2,'uns dados aí'!$E$2:$F$4,2,TRUE),"")</f>
        <v/>
      </c>
      <c r="G5" s="16"/>
      <c r="H5" s="16"/>
      <c r="I5" s="16"/>
      <c r="J5" s="16">
        <f>SUM(Tabela14[[#This Row],[MOD]:[Bônus Habilidade]])-IF(Tabela14[[#This Row],[Penalidade de Armadura?]]="sim",Poderes!C1,0)</f>
        <v>7</v>
      </c>
      <c r="K5" s="16" t="s">
        <v>122</v>
      </c>
      <c r="L5" s="16" t="s">
        <v>47</v>
      </c>
      <c r="M5" s="17" t="s">
        <v>47</v>
      </c>
      <c r="O5" s="23" t="s">
        <v>84</v>
      </c>
      <c r="P5" s="24">
        <v>6</v>
      </c>
    </row>
    <row r="6" spans="2:16" ht="16.5" thickTop="1" thickBot="1" x14ac:dyDescent="0.3">
      <c r="B6" s="7" t="s">
        <v>53</v>
      </c>
      <c r="C6" s="5" t="s">
        <v>50</v>
      </c>
      <c r="D6" s="5">
        <f>VLOOKUP(C6,Ligma!$B$3:$D$8,3,FALSE)</f>
        <v>3</v>
      </c>
      <c r="E6" s="5">
        <f>VLOOKUP(Ligma!$G$2,'uns dados aí'!$I$3:$J$22,2,FALSE)</f>
        <v>5</v>
      </c>
      <c r="F6" s="5" t="str">
        <f>IF(Tabela14[[#This Row],[Treinada?]]="sim",VLOOKUP(Ligma!$G$2,'uns dados aí'!$E$2:$F$4,2,TRUE),"")</f>
        <v/>
      </c>
      <c r="G6" s="5"/>
      <c r="H6" s="5"/>
      <c r="I6" s="5"/>
      <c r="J6" s="5">
        <f>SUM(Tabela14[[#This Row],[MOD]:[Bônus Habilidade]])-IF(Tabela14[[#This Row],[Penalidade de Armadura?]]="sim",Poderes!C2,0)</f>
        <v>8</v>
      </c>
      <c r="K6" s="5" t="s">
        <v>122</v>
      </c>
      <c r="L6" s="5" t="s">
        <v>47</v>
      </c>
      <c r="M6" s="8" t="s">
        <v>47</v>
      </c>
    </row>
    <row r="7" spans="2:16" ht="15.75" customHeight="1" thickTop="1" x14ac:dyDescent="0.25">
      <c r="B7" s="15" t="s">
        <v>54</v>
      </c>
      <c r="C7" s="16" t="s">
        <v>46</v>
      </c>
      <c r="D7" s="16">
        <f>VLOOKUP(C7,Ligma!$B$3:$D$8,3,FALSE)</f>
        <v>3</v>
      </c>
      <c r="E7" s="16">
        <f>VLOOKUP(Ligma!$G$2,'uns dados aí'!$I$3:$J$22,2,FALSE)</f>
        <v>5</v>
      </c>
      <c r="F7" s="16" t="str">
        <f>IF(Tabela14[[#This Row],[Treinada?]]="sim",VLOOKUP(Ligma!$G$2,'uns dados aí'!$E$2:$F$4,2,TRUE),"")</f>
        <v/>
      </c>
      <c r="G7" s="16"/>
      <c r="H7" s="16"/>
      <c r="I7" s="16"/>
      <c r="J7" s="16">
        <f>SUM(Tabela14[[#This Row],[MOD]:[Bônus Habilidade]])-IF(Tabela14[[#This Row],[Penalidade de Armadura?]]="sim",Poderes!C3,0)</f>
        <v>8</v>
      </c>
      <c r="K7" s="16" t="s">
        <v>122</v>
      </c>
      <c r="L7" s="16" t="s">
        <v>47</v>
      </c>
      <c r="M7" s="17" t="s">
        <v>47</v>
      </c>
      <c r="O7" s="61" t="s">
        <v>111</v>
      </c>
      <c r="P7" s="72"/>
    </row>
    <row r="8" spans="2:16" ht="15" customHeight="1" x14ac:dyDescent="0.25">
      <c r="B8" s="7" t="s">
        <v>55</v>
      </c>
      <c r="C8" s="5" t="s">
        <v>56</v>
      </c>
      <c r="D8" s="5">
        <f>VLOOKUP(C8,Ligma!$B$3:$D$8,3,FALSE)</f>
        <v>6</v>
      </c>
      <c r="E8" s="5">
        <f>VLOOKUP(Ligma!$G$2,'uns dados aí'!$I$3:$J$22,2,FALSE)</f>
        <v>5</v>
      </c>
      <c r="F8" s="5">
        <f>IF(Tabela14[[#This Row],[Treinada?]]="sim",VLOOKUP(Ligma!$G$2,'uns dados aí'!$E$2:$F$4,2,TRUE),"")</f>
        <v>4</v>
      </c>
      <c r="G8" s="5"/>
      <c r="H8" s="5"/>
      <c r="I8" s="5"/>
      <c r="J8" s="5">
        <f>SUM(Tabela14[[#This Row],[MOD]:[Bônus Habilidade]])-IF(Tabela14[[#This Row],[Penalidade de Armadura?]]="sim",Poderes!C4,0)</f>
        <v>15</v>
      </c>
      <c r="K8" s="5" t="s">
        <v>48</v>
      </c>
      <c r="L8" s="5" t="s">
        <v>48</v>
      </c>
      <c r="M8" s="8" t="s">
        <v>47</v>
      </c>
      <c r="O8" s="21" t="s">
        <v>3</v>
      </c>
      <c r="P8" s="22">
        <f>VLOOKUP(O8,'uns dados aí'!$B$16:$E$22,4,FALSE)</f>
        <v>0</v>
      </c>
    </row>
    <row r="9" spans="2:16" x14ac:dyDescent="0.25">
      <c r="B9" s="15" t="s">
        <v>57</v>
      </c>
      <c r="C9" s="16" t="s">
        <v>58</v>
      </c>
      <c r="D9" s="16">
        <f>VLOOKUP(C9,Ligma!$B$3:$D$8,3,FALSE)</f>
        <v>4</v>
      </c>
      <c r="E9" s="16">
        <f>VLOOKUP(Ligma!$G$2,'uns dados aí'!$I$3:$J$22,2,FALSE)</f>
        <v>5</v>
      </c>
      <c r="F9" s="16">
        <f>IF(Tabela14[[#This Row],[Treinada?]]="sim",VLOOKUP(Ligma!$G$2,'uns dados aí'!$E$2:$F$4,2,TRUE),"")</f>
        <v>4</v>
      </c>
      <c r="G9" s="16"/>
      <c r="H9" s="16"/>
      <c r="I9" s="16"/>
      <c r="J9" s="16">
        <f>SUM(Tabela14[[#This Row],[MOD]:[Bônus Habilidade]])-IF(Tabela14[[#This Row],[Penalidade de Armadura?]]="sim",Poderes!C5,0)</f>
        <v>13</v>
      </c>
      <c r="K9" s="16" t="s">
        <v>48</v>
      </c>
      <c r="L9" s="16" t="s">
        <v>47</v>
      </c>
      <c r="M9" s="17" t="s">
        <v>47</v>
      </c>
      <c r="O9" s="4" t="s">
        <v>4</v>
      </c>
      <c r="P9" s="6">
        <f>VLOOKUP(O9,'uns dados aí'!$B$16:$E$22,4,FALSE)</f>
        <v>2</v>
      </c>
    </row>
    <row r="10" spans="2:16" x14ac:dyDescent="0.25">
      <c r="B10" s="7" t="s">
        <v>59</v>
      </c>
      <c r="C10" s="5" t="s">
        <v>50</v>
      </c>
      <c r="D10" s="5">
        <f>VLOOKUP(C10,Ligma!$B$3:$D$8,3,FALSE)</f>
        <v>3</v>
      </c>
      <c r="E10" s="5">
        <f>VLOOKUP(Ligma!$G$2,'uns dados aí'!$I$3:$J$22,2,FALSE)</f>
        <v>5</v>
      </c>
      <c r="F10" s="5" t="str">
        <f>IF(Tabela14[[#This Row],[Treinada?]]="sim",VLOOKUP(Ligma!$G$2,'uns dados aí'!$E$2:$F$4,2,TRUE),"")</f>
        <v/>
      </c>
      <c r="G10" s="5"/>
      <c r="H10" s="5"/>
      <c r="I10" s="5"/>
      <c r="J10" s="5">
        <f>SUM(Tabela14[[#This Row],[MOD]:[Bônus Habilidade]])-IF(Tabela14[[#This Row],[Penalidade de Armadura?]]="sim",Poderes!C6,0)</f>
        <v>8</v>
      </c>
      <c r="K10" s="5" t="s">
        <v>122</v>
      </c>
      <c r="L10" s="5" t="s">
        <v>47</v>
      </c>
      <c r="M10" s="8" t="s">
        <v>47</v>
      </c>
      <c r="O10" s="21" t="s">
        <v>12</v>
      </c>
      <c r="P10" s="22">
        <f>VLOOKUP(O10,'uns dados aí'!$B$16:$E$22,4,FALSE)</f>
        <v>-2</v>
      </c>
    </row>
    <row r="11" spans="2:16" x14ac:dyDescent="0.25">
      <c r="B11" s="15" t="s">
        <v>60</v>
      </c>
      <c r="C11" s="16" t="s">
        <v>50</v>
      </c>
      <c r="D11" s="16">
        <f>VLOOKUP(C11,Ligma!$B$3:$D$8,3,FALSE)</f>
        <v>3</v>
      </c>
      <c r="E11" s="16">
        <f>VLOOKUP(Ligma!$G$2,'uns dados aí'!$I$3:$J$22,2,FALSE)</f>
        <v>5</v>
      </c>
      <c r="F11" s="16" t="str">
        <f>IF(Tabela14[[#This Row],[Treinada?]]="sim",VLOOKUP(Ligma!$G$2,'uns dados aí'!$E$2:$F$4,2,TRUE),"")</f>
        <v/>
      </c>
      <c r="G11" s="16"/>
      <c r="H11" s="16"/>
      <c r="I11" s="16"/>
      <c r="J11" s="16">
        <f>SUM(Tabela14[[#This Row],[MOD]:[Bônus Habilidade]])-IF(Tabela14[[#This Row],[Penalidade de Armadura?]]="sim",Poderes!C7,0)</f>
        <v>8</v>
      </c>
      <c r="K11" s="16" t="s">
        <v>122</v>
      </c>
      <c r="L11" s="16" t="s">
        <v>47</v>
      </c>
      <c r="M11" s="17" t="s">
        <v>47</v>
      </c>
      <c r="O11" s="4" t="s">
        <v>5</v>
      </c>
      <c r="P11" s="6">
        <f>VLOOKUP(O11,'uns dados aí'!$B$16:$E$22,4,FALSE)</f>
        <v>6</v>
      </c>
    </row>
    <row r="12" spans="2:16" x14ac:dyDescent="0.25">
      <c r="B12" s="7" t="s">
        <v>61</v>
      </c>
      <c r="C12" s="5" t="s">
        <v>62</v>
      </c>
      <c r="D12" s="5">
        <f>VLOOKUP(C12,Ligma!$B$3:$D$8,3,FALSE)</f>
        <v>1</v>
      </c>
      <c r="E12" s="5">
        <f>VLOOKUP(Ligma!$G$2,'uns dados aí'!$I$3:$J$22,2,FALSE)</f>
        <v>5</v>
      </c>
      <c r="F12" s="5" t="str">
        <f>IF(Tabela14[[#This Row],[Treinada?]]="sim",VLOOKUP(Ligma!$G$2,'uns dados aí'!$E$2:$F$4,2,TRUE),"")</f>
        <v/>
      </c>
      <c r="G12" s="5"/>
      <c r="H12" s="5"/>
      <c r="I12" s="5"/>
      <c r="J12" s="5">
        <f>SUM(Tabela14[[#This Row],[MOD]:[Bônus Habilidade]])-IF(Tabela14[[#This Row],[Penalidade de Armadura?]]="sim",Poderes!C8,0)</f>
        <v>6</v>
      </c>
      <c r="K12" s="5" t="s">
        <v>122</v>
      </c>
      <c r="L12" s="5" t="s">
        <v>47</v>
      </c>
      <c r="M12" s="8" t="s">
        <v>47</v>
      </c>
      <c r="O12" s="21" t="s">
        <v>6</v>
      </c>
      <c r="P12" s="22">
        <f>VLOOKUP(O12,'uns dados aí'!$B$16:$E$22,4,FALSE)</f>
        <v>2</v>
      </c>
    </row>
    <row r="13" spans="2:16" ht="15.75" thickBot="1" x14ac:dyDescent="0.3">
      <c r="B13" s="15" t="s">
        <v>63</v>
      </c>
      <c r="C13" s="16" t="s">
        <v>46</v>
      </c>
      <c r="D13" s="16">
        <f>VLOOKUP(C13,Ligma!$B$3:$D$8,3,FALSE)</f>
        <v>3</v>
      </c>
      <c r="E13" s="16">
        <f>VLOOKUP(Ligma!$G$2,'uns dados aí'!$I$3:$J$22,2,FALSE)</f>
        <v>5</v>
      </c>
      <c r="F13" s="16" t="str">
        <f>IF(Tabela14[[#This Row],[Treinada?]]="sim",VLOOKUP(Ligma!$G$2,'uns dados aí'!$E$2:$F$4,2,TRUE),"")</f>
        <v/>
      </c>
      <c r="G13" s="16"/>
      <c r="H13" s="16"/>
      <c r="I13" s="16"/>
      <c r="J13" s="16">
        <f>SUM(Tabela14[[#This Row],[MOD]:[Bônus Habilidade]])-IF(Tabela14[[#This Row],[Penalidade de Armadura?]]="sim",Poderes!C9,0)</f>
        <v>8</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5</v>
      </c>
      <c r="F14" s="5">
        <f>IF(Tabela14[[#This Row],[Treinada?]]="sim",VLOOKUP(Ligma!$G$2,'uns dados aí'!$E$2:$F$4,2,TRUE),"")</f>
        <v>4</v>
      </c>
      <c r="G14" s="5"/>
      <c r="H14" s="5">
        <v>1</v>
      </c>
      <c r="I14" s="5"/>
      <c r="J14" s="5">
        <f>SUM(Tabela14[[#This Row],[MOD]:[Bônus Habilidade]])-IF(Tabela14[[#This Row],[Penalidade de Armadura?]]="sim",Poderes!C10,0)</f>
        <v>16</v>
      </c>
      <c r="K14" s="5" t="s">
        <v>48</v>
      </c>
      <c r="L14" s="5" t="s">
        <v>48</v>
      </c>
      <c r="M14" s="8" t="s">
        <v>47</v>
      </c>
    </row>
    <row r="15" spans="2:16" x14ac:dyDescent="0.25">
      <c r="B15" s="15" t="s">
        <v>65</v>
      </c>
      <c r="C15" s="16" t="s">
        <v>46</v>
      </c>
      <c r="D15" s="16">
        <f>VLOOKUP(C15,Ligma!$B$3:$D$8,3,FALSE)</f>
        <v>3</v>
      </c>
      <c r="E15" s="16">
        <f>VLOOKUP(Ligma!$G$2,'uns dados aí'!$I$3:$J$22,2,FALSE)</f>
        <v>5</v>
      </c>
      <c r="F15" s="16" t="str">
        <f>IF(Tabela14[[#This Row],[Treinada?]]="sim",VLOOKUP(Ligma!$G$2,'uns dados aí'!$E$2:$F$4,2,TRUE),"")</f>
        <v/>
      </c>
      <c r="G15" s="16"/>
      <c r="H15" s="16"/>
      <c r="I15" s="16"/>
      <c r="J15" s="16">
        <f>SUM(Tabela14[[#This Row],[MOD]:[Bônus Habilidade]])-IF(Tabela14[[#This Row],[Penalidade de Armadura?]]="sim",Poderes!C11,0)</f>
        <v>8</v>
      </c>
      <c r="K15" s="16" t="s">
        <v>122</v>
      </c>
      <c r="L15" s="16" t="s">
        <v>47</v>
      </c>
      <c r="M15" s="17" t="s">
        <v>47</v>
      </c>
    </row>
    <row r="16" spans="2:16" x14ac:dyDescent="0.25">
      <c r="B16" s="7" t="s">
        <v>66</v>
      </c>
      <c r="C16" s="5" t="s">
        <v>50</v>
      </c>
      <c r="D16" s="5">
        <f>VLOOKUP(C16,Ligma!$B$3:$D$8,3,FALSE)</f>
        <v>3</v>
      </c>
      <c r="E16" s="5">
        <f>VLOOKUP(Ligma!$G$2,'uns dados aí'!$I$3:$J$22,2,FALSE)</f>
        <v>5</v>
      </c>
      <c r="F16" s="5" t="str">
        <f>IF(Tabela14[[#This Row],[Treinada?]]="sim",VLOOKUP(Ligma!$G$2,'uns dados aí'!$E$2:$F$4,2,TRUE),"")</f>
        <v/>
      </c>
      <c r="G16" s="5"/>
      <c r="H16" s="5"/>
      <c r="I16" s="5"/>
      <c r="J16" s="5">
        <f>SUM(Tabela14[[#This Row],[MOD]:[Bônus Habilidade]])-IF(Tabela14[[#This Row],[Penalidade de Armadura?]]="sim",Poderes!C12,0)</f>
        <v>8</v>
      </c>
      <c r="K16" s="5" t="s">
        <v>122</v>
      </c>
      <c r="L16" s="5" t="s">
        <v>47</v>
      </c>
      <c r="M16" s="8" t="s">
        <v>47</v>
      </c>
    </row>
    <row r="17" spans="2:13" x14ac:dyDescent="0.25">
      <c r="B17" s="15" t="s">
        <v>67</v>
      </c>
      <c r="C17" s="16" t="s">
        <v>58</v>
      </c>
      <c r="D17" s="16">
        <f>VLOOKUP(C17,Ligma!$B$3:$D$8,3,FALSE)</f>
        <v>4</v>
      </c>
      <c r="E17" s="16">
        <f>VLOOKUP(Ligma!$G$2,'uns dados aí'!$I$3:$J$22,2,FALSE)</f>
        <v>5</v>
      </c>
      <c r="F17" s="16" t="str">
        <f>IF(Tabela14[[#This Row],[Treinada?]]="sim",VLOOKUP(Ligma!$G$2,'uns dados aí'!$E$2:$F$4,2,TRUE),"")</f>
        <v/>
      </c>
      <c r="G17" s="16"/>
      <c r="H17" s="16"/>
      <c r="I17" s="16"/>
      <c r="J17" s="16">
        <f>SUM(Tabela14[[#This Row],[MOD]:[Bônus Habilidade]])-IF(Tabela14[[#This Row],[Penalidade de Armadura?]]="sim",Poderes!C13,0)</f>
        <v>9</v>
      </c>
      <c r="K17" s="16" t="s">
        <v>122</v>
      </c>
      <c r="L17" s="16" t="s">
        <v>47</v>
      </c>
      <c r="M17" s="17" t="s">
        <v>47</v>
      </c>
    </row>
    <row r="18" spans="2:13" x14ac:dyDescent="0.25">
      <c r="B18" s="7" t="s">
        <v>68</v>
      </c>
      <c r="C18" s="5" t="s">
        <v>56</v>
      </c>
      <c r="D18" s="5">
        <f>VLOOKUP(C18,Ligma!$B$3:$D$8,3,FALSE)</f>
        <v>6</v>
      </c>
      <c r="E18" s="5">
        <f>VLOOKUP(Ligma!$G$2,'uns dados aí'!$I$3:$J$22,2,FALSE)</f>
        <v>5</v>
      </c>
      <c r="F18" s="5">
        <f>IF(Tabela14[[#This Row],[Treinada?]]="sim",VLOOKUP(Ligma!$G$2,'uns dados aí'!$E$2:$F$4,2,TRUE),"")</f>
        <v>4</v>
      </c>
      <c r="G18" s="5"/>
      <c r="H18" s="5"/>
      <c r="I18" s="5"/>
      <c r="J18" s="5">
        <f>SUM(Tabela14[[#This Row],[MOD]:[Bônus Habilidade]])-IF(Tabela14[[#This Row],[Penalidade de Armadura?]]="sim",Poderes!C14,0)</f>
        <v>15</v>
      </c>
      <c r="K18" s="5" t="s">
        <v>48</v>
      </c>
      <c r="L18" s="5" t="s">
        <v>47</v>
      </c>
      <c r="M18" s="8" t="s">
        <v>47</v>
      </c>
    </row>
    <row r="19" spans="2:13" x14ac:dyDescent="0.25">
      <c r="B19" s="15" t="s">
        <v>69</v>
      </c>
      <c r="C19" s="16" t="s">
        <v>50</v>
      </c>
      <c r="D19" s="16">
        <f>VLOOKUP(C19,Ligma!$B$3:$D$8,3,FALSE)</f>
        <v>3</v>
      </c>
      <c r="E19" s="16">
        <f>VLOOKUP(Ligma!$G$2,'uns dados aí'!$I$3:$J$22,2,FALSE)</f>
        <v>5</v>
      </c>
      <c r="F19" s="16" t="str">
        <f>IF(Tabela14[[#This Row],[Treinada?]]="sim",VLOOKUP(Ligma!$G$2,'uns dados aí'!$E$2:$F$4,2,TRUE),"")</f>
        <v/>
      </c>
      <c r="G19" s="16"/>
      <c r="H19" s="16"/>
      <c r="I19" s="16"/>
      <c r="J19" s="16">
        <f>SUM(Tabela14[[#This Row],[MOD]:[Bônus Habilidade]])-IF(Tabela14[[#This Row],[Penalidade de Armadura?]]="sim",Poderes!C15,0)</f>
        <v>8</v>
      </c>
      <c r="K19" s="16" t="s">
        <v>122</v>
      </c>
      <c r="L19" s="16" t="s">
        <v>48</v>
      </c>
      <c r="M19" s="17" t="s">
        <v>47</v>
      </c>
    </row>
    <row r="20" spans="2:13" x14ac:dyDescent="0.25">
      <c r="B20" s="7" t="s">
        <v>70</v>
      </c>
      <c r="C20" s="5" t="s">
        <v>46</v>
      </c>
      <c r="D20" s="5">
        <f>VLOOKUP(C20,Ligma!$B$3:$D$8,3,FALSE)</f>
        <v>3</v>
      </c>
      <c r="E20" s="5">
        <f>VLOOKUP(Ligma!$G$2,'uns dados aí'!$I$3:$J$22,2,FALSE)</f>
        <v>5</v>
      </c>
      <c r="F20" s="5" t="str">
        <f>IF(Tabela14[[#This Row],[Treinada?]]="sim",VLOOKUP(Ligma!$G$2,'uns dados aí'!$E$2:$F$4,2,TRUE),"")</f>
        <v/>
      </c>
      <c r="G20" s="5"/>
      <c r="H20" s="5"/>
      <c r="I20" s="5"/>
      <c r="J20" s="5">
        <f>SUM(Tabela14[[#This Row],[MOD]:[Bônus Habilidade]])-IF(Tabela14[[#This Row],[Penalidade de Armadura?]]="sim",Poderes!C16,0)</f>
        <v>8</v>
      </c>
      <c r="K20" s="5" t="s">
        <v>122</v>
      </c>
      <c r="L20" s="5" t="s">
        <v>48</v>
      </c>
      <c r="M20" s="8" t="s">
        <v>48</v>
      </c>
    </row>
    <row r="21" spans="2:13" x14ac:dyDescent="0.25">
      <c r="B21" s="15" t="s">
        <v>71</v>
      </c>
      <c r="C21" s="16" t="s">
        <v>52</v>
      </c>
      <c r="D21" s="16">
        <f>VLOOKUP(C21,Ligma!$B$3:$D$8,3,FALSE)</f>
        <v>2</v>
      </c>
      <c r="E21" s="16">
        <f>VLOOKUP(Ligma!$G$2,'uns dados aí'!$I$3:$J$22,2,FALSE)</f>
        <v>5</v>
      </c>
      <c r="F21" s="16">
        <f>IF(Tabela14[[#This Row],[Treinada?]]="sim",VLOOKUP(Ligma!$G$2,'uns dados aí'!$E$2:$F$4,2,TRUE),"")</f>
        <v>4</v>
      </c>
      <c r="G21" s="16"/>
      <c r="H21" s="16"/>
      <c r="I21" s="16"/>
      <c r="J21" s="16">
        <f>SUM(Tabela14[[#This Row],[MOD]:[Bônus Habilidade]])-IF(Tabela14[[#This Row],[Penalidade de Armadura?]]="sim",Poderes!C17,0)</f>
        <v>11</v>
      </c>
      <c r="K21" s="16" t="s">
        <v>48</v>
      </c>
      <c r="L21" s="16" t="s">
        <v>47</v>
      </c>
      <c r="M21" s="17" t="s">
        <v>47</v>
      </c>
    </row>
    <row r="22" spans="2:13" x14ac:dyDescent="0.25">
      <c r="B22" s="7" t="s">
        <v>72</v>
      </c>
      <c r="C22" s="5" t="s">
        <v>56</v>
      </c>
      <c r="D22" s="5">
        <f>VLOOKUP(C22,Ligma!$B$3:$D$8,3,FALSE)</f>
        <v>6</v>
      </c>
      <c r="E22" s="5">
        <f>VLOOKUP(Ligma!$G$2,'uns dados aí'!$I$3:$J$22,2,FALSE)</f>
        <v>5</v>
      </c>
      <c r="F22" s="5">
        <f>IF(Tabela14[[#This Row],[Treinada?]]="sim",VLOOKUP(Ligma!$G$2,'uns dados aí'!$E$2:$F$4,2,TRUE),"")</f>
        <v>4</v>
      </c>
      <c r="G22" s="5">
        <v>2</v>
      </c>
      <c r="H22" s="5"/>
      <c r="I22" s="5"/>
      <c r="J22" s="5">
        <f>SUM(Tabela14[[#This Row],[MOD]:[Bônus Habilidade]])-IF(Tabela14[[#This Row],[Penalidade de Armadura?]]="sim",Poderes!C18,0)</f>
        <v>17</v>
      </c>
      <c r="K22" s="5" t="s">
        <v>48</v>
      </c>
      <c r="L22" s="5" t="s">
        <v>48</v>
      </c>
      <c r="M22" s="8" t="s">
        <v>47</v>
      </c>
    </row>
    <row r="23" spans="2:13" x14ac:dyDescent="0.25">
      <c r="B23" s="15" t="s">
        <v>73</v>
      </c>
      <c r="C23" s="16" t="s">
        <v>56</v>
      </c>
      <c r="D23" s="16">
        <f>VLOOKUP(C23,Ligma!$B$3:$D$8,3,FALSE)</f>
        <v>6</v>
      </c>
      <c r="E23" s="16">
        <f>VLOOKUP(Ligma!$G$2,'uns dados aí'!$I$3:$J$22,2,FALSE)</f>
        <v>5</v>
      </c>
      <c r="F23" s="16" t="str">
        <f>IF(Tabela14[[#This Row],[Treinada?]]="sim",VLOOKUP(Ligma!$G$2,'uns dados aí'!$E$2:$F$4,2,TRUE),"")</f>
        <v/>
      </c>
      <c r="G23" s="16"/>
      <c r="H23" s="16"/>
      <c r="I23" s="16"/>
      <c r="J23" s="16">
        <f>SUM(Tabela14[[#This Row],[MOD]:[Bônus Habilidade]])-IF(Tabela14[[#This Row],[Penalidade de Armadura?]]="sim",Poderes!C19,0)</f>
        <v>11</v>
      </c>
      <c r="K23" s="16" t="s">
        <v>122</v>
      </c>
      <c r="L23" s="16" t="s">
        <v>48</v>
      </c>
      <c r="M23" s="17" t="s">
        <v>47</v>
      </c>
    </row>
    <row r="24" spans="2:13" x14ac:dyDescent="0.25">
      <c r="B24" s="7" t="s">
        <v>115</v>
      </c>
      <c r="C24" s="5" t="s">
        <v>56</v>
      </c>
      <c r="D24" s="5">
        <f>VLOOKUP(C24,Ligma!$B$3:$D$8,3,FALSE)</f>
        <v>6</v>
      </c>
      <c r="E24" s="5">
        <f>VLOOKUP(Ligma!$G$2,'uns dados aí'!$I$3:$J$22,2,FALSE)</f>
        <v>5</v>
      </c>
      <c r="F24" s="5">
        <f>IF(Tabela14[[#This Row],[Treinada?]]="sim",VLOOKUP(Ligma!$G$2,'uns dados aí'!$E$2:$F$4,2,TRUE),"")</f>
        <v>4</v>
      </c>
      <c r="G24" s="5"/>
      <c r="H24" s="5"/>
      <c r="I24" s="5"/>
      <c r="J24" s="5">
        <f>SUM(Tabela14[[#This Row],[MOD]:[Bônus Habilidade]])-IF(Tabela14[[#This Row],[Penalidade de Armadura?]]="sim",Poderes!C20,0)</f>
        <v>15</v>
      </c>
      <c r="K24" s="5" t="s">
        <v>48</v>
      </c>
      <c r="L24" s="5" t="s">
        <v>48</v>
      </c>
      <c r="M24" s="8" t="s">
        <v>47</v>
      </c>
    </row>
    <row r="25" spans="2:13" x14ac:dyDescent="0.25">
      <c r="B25" s="15" t="s">
        <v>116</v>
      </c>
      <c r="C25" s="16" t="s">
        <v>56</v>
      </c>
      <c r="D25" s="16">
        <f>VLOOKUP(C25,Ligma!$B$3:$D$8,3,FALSE)</f>
        <v>6</v>
      </c>
      <c r="E25" s="16">
        <f>VLOOKUP(Ligma!$G$2,'uns dados aí'!$I$3:$J$22,2,FALSE)</f>
        <v>5</v>
      </c>
      <c r="F25" s="16">
        <f>IF(Tabela14[[#This Row],[Treinada?]]="sim",VLOOKUP(Ligma!$G$2,'uns dados aí'!$E$2:$F$4,2,TRUE),"")</f>
        <v>4</v>
      </c>
      <c r="G25" s="16"/>
      <c r="H25" s="16"/>
      <c r="I25" s="16"/>
      <c r="J25" s="16">
        <f>SUM(Tabela14[[#This Row],[MOD]:[Bônus Habilidade]])-IF(Tabela14[[#This Row],[Penalidade de Armadura?]]="sim",Poderes!C21,0)</f>
        <v>15</v>
      </c>
      <c r="K25" s="16" t="s">
        <v>48</v>
      </c>
      <c r="L25" s="16" t="s">
        <v>48</v>
      </c>
      <c r="M25" s="17" t="s">
        <v>47</v>
      </c>
    </row>
    <row r="26" spans="2:13" x14ac:dyDescent="0.25">
      <c r="B26" s="44" t="s">
        <v>114</v>
      </c>
      <c r="C26" s="5" t="s">
        <v>56</v>
      </c>
      <c r="D26" s="5">
        <f>VLOOKUP(C26,Ligma!$B$3:$D$8,3,FALSE)</f>
        <v>6</v>
      </c>
      <c r="E26" s="5">
        <f>VLOOKUP(Ligma!$G$2,'uns dados aí'!$I$3:$J$22,2,FALSE)</f>
        <v>5</v>
      </c>
      <c r="F26" s="5">
        <f>IF(Tabela14[[#This Row],[Treinada?]]="sim",VLOOKUP(Ligma!$G$2,'uns dados aí'!$E$2:$F$4,2,TRUE),"")</f>
        <v>4</v>
      </c>
      <c r="G26" s="5"/>
      <c r="H26" s="5"/>
      <c r="I26" s="5"/>
      <c r="J26" s="5">
        <f>SUM(Tabela14[[#This Row],[MOD]:[Bônus Habilidade]])-IF(Tabela14[[#This Row],[Penalidade de Armadura?]]="sim",Poderes!C22,0)</f>
        <v>15</v>
      </c>
      <c r="K26" s="5" t="s">
        <v>48</v>
      </c>
      <c r="L26" s="5" t="s">
        <v>48</v>
      </c>
      <c r="M26" s="8" t="s">
        <v>47</v>
      </c>
    </row>
    <row r="27" spans="2:13" x14ac:dyDescent="0.25">
      <c r="B27" s="15" t="s">
        <v>74</v>
      </c>
      <c r="C27" s="16" t="s">
        <v>58</v>
      </c>
      <c r="D27" s="16">
        <f>VLOOKUP(C27,Ligma!$B$3:$D$8,3,FALSE)</f>
        <v>4</v>
      </c>
      <c r="E27" s="16">
        <f>VLOOKUP(Ligma!$G$2,'uns dados aí'!$I$3:$J$22,2,FALSE)</f>
        <v>5</v>
      </c>
      <c r="F27" s="16">
        <f>IF(Tabela14[[#This Row],[Treinada?]]="sim",VLOOKUP(Ligma!$G$2,'uns dados aí'!$E$2:$F$4,2,TRUE),"")</f>
        <v>4</v>
      </c>
      <c r="G27" s="16">
        <v>2</v>
      </c>
      <c r="H27" s="16"/>
      <c r="I27" s="16"/>
      <c r="J27" s="16">
        <f>SUM(Tabela14[[#This Row],[MOD]:[Bônus Habilidade]])-IF(Tabela14[[#This Row],[Penalidade de Armadura?]]="sim",Ligma!D40,0)</f>
        <v>15</v>
      </c>
      <c r="K27" s="16" t="s">
        <v>48</v>
      </c>
      <c r="L27" s="16" t="s">
        <v>47</v>
      </c>
      <c r="M27" s="17" t="s">
        <v>47</v>
      </c>
    </row>
    <row r="28" spans="2:13" x14ac:dyDescent="0.25">
      <c r="B28" s="7" t="s">
        <v>75</v>
      </c>
      <c r="C28" s="5" t="s">
        <v>46</v>
      </c>
      <c r="D28" s="5">
        <f>VLOOKUP(C28,Ligma!$B$3:$D$8,3,FALSE)</f>
        <v>3</v>
      </c>
      <c r="E28" s="5">
        <f>VLOOKUP(Ligma!$G$2,'uns dados aí'!$I$3:$J$22,2,FALSE)</f>
        <v>5</v>
      </c>
      <c r="F28" s="5" t="str">
        <f>IF(Tabela14[[#This Row],[Treinada?]]="sim",VLOOKUP(Ligma!$G$2,'uns dados aí'!$E$2:$F$4,2,TRUE),"")</f>
        <v/>
      </c>
      <c r="G28" s="5"/>
      <c r="H28" s="5"/>
      <c r="I28" s="5"/>
      <c r="J28" s="5">
        <f>SUM(Tabela14[[#This Row],[MOD]:[Bônus Habilidade]])-IF(Tabela14[[#This Row],[Penalidade de Armadura?]]="sim",Poderes!K1,0)</f>
        <v>8</v>
      </c>
      <c r="K28" s="5" t="s">
        <v>122</v>
      </c>
      <c r="L28" s="5" t="s">
        <v>48</v>
      </c>
      <c r="M28" s="8" t="s">
        <v>47</v>
      </c>
    </row>
    <row r="29" spans="2:13" x14ac:dyDescent="0.25">
      <c r="B29" s="15" t="s">
        <v>76</v>
      </c>
      <c r="C29" s="16" t="s">
        <v>46</v>
      </c>
      <c r="D29" s="16">
        <f>VLOOKUP(C29,Ligma!$B$3:$D$8,3,FALSE)</f>
        <v>3</v>
      </c>
      <c r="E29" s="16">
        <f>VLOOKUP(Ligma!$G$2,'uns dados aí'!$I$3:$J$22,2,FALSE)</f>
        <v>5</v>
      </c>
      <c r="F29" s="16" t="str">
        <f>IF(Tabela14[[#This Row],[Treinada?]]="sim",VLOOKUP(Ligma!$G$2,'uns dados aí'!$E$2:$F$4,2,TRUE),"")</f>
        <v/>
      </c>
      <c r="G29" s="16"/>
      <c r="H29" s="16"/>
      <c r="I29" s="16"/>
      <c r="J29" s="16">
        <f>SUM(Tabela14[[#This Row],[MOD]:[Bônus Habilidade]])-IF(Tabela14[[#This Row],[Penalidade de Armadura?]]="sim",Poderes!K2,0)</f>
        <v>8</v>
      </c>
      <c r="K29" s="16" t="s">
        <v>122</v>
      </c>
      <c r="L29" s="16" t="s">
        <v>47</v>
      </c>
      <c r="M29" s="17" t="s">
        <v>47</v>
      </c>
    </row>
    <row r="30" spans="2:13" x14ac:dyDescent="0.25">
      <c r="B30" s="7" t="s">
        <v>77</v>
      </c>
      <c r="C30" s="5" t="s">
        <v>46</v>
      </c>
      <c r="D30" s="5">
        <f>VLOOKUP(C30,Ligma!$B$3:$D$8,3,FALSE)</f>
        <v>3</v>
      </c>
      <c r="E30" s="5">
        <f>VLOOKUP(Ligma!$G$2,'uns dados aí'!$I$3:$J$22,2,FALSE)</f>
        <v>5</v>
      </c>
      <c r="F30" s="5">
        <f>IF(Tabela14[[#This Row],[Treinada?]]="sim",VLOOKUP(Ligma!$G$2,'uns dados aí'!$E$2:$F$4,2,TRUE),"")</f>
        <v>4</v>
      </c>
      <c r="G30" s="5"/>
      <c r="H30" s="5"/>
      <c r="I30" s="5"/>
      <c r="J30" s="5">
        <f>SUM(Tabela14[[#This Row],[MOD]:[Bônus Habilidade]])-IF(Tabela14[[#This Row],[Penalidade de Armadura?]]="sim",Poderes!#REF!,0)</f>
        <v>12</v>
      </c>
      <c r="K30" s="5" t="s">
        <v>48</v>
      </c>
      <c r="L30" s="5" t="s">
        <v>47</v>
      </c>
      <c r="M30" s="8" t="s">
        <v>47</v>
      </c>
    </row>
    <row r="31" spans="2:13" x14ac:dyDescent="0.25">
      <c r="B31" s="15" t="s">
        <v>78</v>
      </c>
      <c r="C31" s="16" t="s">
        <v>58</v>
      </c>
      <c r="D31" s="16">
        <f>VLOOKUP(C31,Ligma!$B$3:$D$8,3,FALSE)</f>
        <v>4</v>
      </c>
      <c r="E31" s="16">
        <f>VLOOKUP(Ligma!$G$2,'uns dados aí'!$I$3:$J$22,2,FALSE)</f>
        <v>5</v>
      </c>
      <c r="F31" s="16">
        <f>IF(Tabela14[[#This Row],[Treinada?]]="sim",VLOOKUP(Ligma!$G$2,'uns dados aí'!$E$2:$F$4,2,TRUE),"")</f>
        <v>4</v>
      </c>
      <c r="G31" s="16"/>
      <c r="H31" s="16"/>
      <c r="I31" s="16"/>
      <c r="J31" s="16">
        <f>SUM(Tabela14[[#This Row],[MOD]:[Bônus Habilidade]])-IF(Tabela14[[#This Row],[Penalidade de Armadura?]]="sim",Poderes!#REF!,0)</f>
        <v>13</v>
      </c>
      <c r="K31" s="16" t="s">
        <v>48</v>
      </c>
      <c r="L31" s="16" t="s">
        <v>48</v>
      </c>
      <c r="M31" s="17" t="s">
        <v>47</v>
      </c>
    </row>
    <row r="32" spans="2:13" x14ac:dyDescent="0.25">
      <c r="B32" s="7" t="s">
        <v>79</v>
      </c>
      <c r="C32" s="5" t="s">
        <v>58</v>
      </c>
      <c r="D32" s="5">
        <f>VLOOKUP(C32,Ligma!$B$3:$D$8,3,FALSE)</f>
        <v>4</v>
      </c>
      <c r="E32" s="5">
        <f>VLOOKUP(Ligma!$G$2,'uns dados aí'!$I$3:$J$22,2,FALSE)</f>
        <v>5</v>
      </c>
      <c r="F32" s="5" t="str">
        <f>IF(Tabela14[[#This Row],[Treinada?]]="sim",VLOOKUP(Ligma!$G$2,'uns dados aí'!$E$2:$F$4,2,TRUE),"")</f>
        <v/>
      </c>
      <c r="G32" s="5"/>
      <c r="H32" s="5"/>
      <c r="I32" s="5"/>
      <c r="J32" s="5">
        <f>SUM(Tabela14[[#This Row],[MOD]:[Bônus Habilidade]])-IF(Tabela14[[#This Row],[Penalidade de Armadura?]]="sim",Poderes!#REF!,0)</f>
        <v>9</v>
      </c>
      <c r="K32" s="5" t="s">
        <v>122</v>
      </c>
      <c r="L32" s="5" t="s">
        <v>47</v>
      </c>
      <c r="M32" s="8" t="s">
        <v>47</v>
      </c>
    </row>
    <row r="33" spans="2:13" x14ac:dyDescent="0.25">
      <c r="B33" s="18" t="s">
        <v>80</v>
      </c>
      <c r="C33" s="19" t="s">
        <v>58</v>
      </c>
      <c r="D33" s="19">
        <f>VLOOKUP(C33,Ligma!$B$3:$D$8,3,FALSE)</f>
        <v>4</v>
      </c>
      <c r="E33" s="19">
        <f>VLOOKUP(Ligma!$G$2,'uns dados aí'!$I$3:$J$22,2,FALSE)</f>
        <v>5</v>
      </c>
      <c r="F33" s="19">
        <f>IF(Tabela14[[#This Row],[Treinada?]]="sim",VLOOKUP(Ligma!$G$2,'uns dados aí'!$E$2:$F$4,2,TRUE),"")</f>
        <v>4</v>
      </c>
      <c r="G33" s="19"/>
      <c r="H33" s="19"/>
      <c r="I33" s="19"/>
      <c r="J33" s="19">
        <f>SUM(Tabela14[[#This Row],[MOD]:[Bônus Habilidade]])-IF(Tabela14[[#This Row],[Penalidade de Armadura?]]="sim",Poderes!#REF!,0)</f>
        <v>13</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610C-D891-4343-BCC6-4C15B1AC2944}">
  <dimension ref="B1:M23"/>
  <sheetViews>
    <sheetView workbookViewId="0">
      <selection activeCell="J7" sqref="J7"/>
    </sheetView>
  </sheetViews>
  <sheetFormatPr defaultRowHeight="15" x14ac:dyDescent="0.25"/>
  <cols>
    <col min="2" max="3" width="10.28515625" bestFit="1" customWidth="1"/>
    <col min="4" max="4" width="12.28515625" bestFit="1" customWidth="1"/>
    <col min="8" max="8" width="20.28515625" bestFit="1" customWidth="1"/>
    <col min="9" max="9" width="19.85546875" bestFit="1" customWidth="1"/>
    <col min="10" max="10" width="17" bestFit="1" customWidth="1"/>
  </cols>
  <sheetData>
    <row r="1" spans="2:13" ht="15.75" thickBot="1" x14ac:dyDescent="0.3"/>
    <row r="2" spans="2:13" ht="15.75" thickTop="1" x14ac:dyDescent="0.25">
      <c r="B2" s="87" t="s">
        <v>110</v>
      </c>
      <c r="C2" s="88"/>
      <c r="E2" s="28">
        <v>1</v>
      </c>
      <c r="F2" s="29">
        <v>2</v>
      </c>
      <c r="H2" s="36" t="s">
        <v>103</v>
      </c>
      <c r="I2" s="37" t="s">
        <v>102</v>
      </c>
      <c r="J2" s="29" t="s">
        <v>104</v>
      </c>
      <c r="L2" s="28" t="s">
        <v>118</v>
      </c>
      <c r="M2" s="29">
        <f>12+Ligma!D5</f>
        <v>13</v>
      </c>
    </row>
    <row r="3" spans="2:13" x14ac:dyDescent="0.25">
      <c r="B3" s="30" t="s">
        <v>3</v>
      </c>
      <c r="C3" s="31">
        <v>14</v>
      </c>
      <c r="E3" s="30">
        <v>7</v>
      </c>
      <c r="F3" s="31">
        <v>4</v>
      </c>
      <c r="H3" s="30">
        <v>0</v>
      </c>
      <c r="I3" s="38">
        <v>1</v>
      </c>
      <c r="J3" s="31">
        <f>ROUNDDOWN(I3/2,0)</f>
        <v>0</v>
      </c>
      <c r="L3" s="30" t="s">
        <v>119</v>
      </c>
      <c r="M3" s="31">
        <v>4</v>
      </c>
    </row>
    <row r="4" spans="2:13" ht="15.75" thickBot="1" x14ac:dyDescent="0.3">
      <c r="B4" s="32" t="s">
        <v>4</v>
      </c>
      <c r="C4" s="33">
        <v>15</v>
      </c>
      <c r="E4" s="34">
        <v>15</v>
      </c>
      <c r="F4" s="35">
        <v>6</v>
      </c>
      <c r="H4" s="39">
        <v>1000</v>
      </c>
      <c r="I4" s="40">
        <v>2</v>
      </c>
      <c r="J4" s="33">
        <f t="shared" ref="J4:J22" si="0">ROUNDDOWN(I4/2,0)</f>
        <v>1</v>
      </c>
      <c r="L4" s="34" t="s">
        <v>120</v>
      </c>
      <c r="M4" s="35">
        <v>1</v>
      </c>
    </row>
    <row r="5" spans="2:13" ht="15.75" thickTop="1" x14ac:dyDescent="0.25">
      <c r="B5" s="30" t="s">
        <v>12</v>
      </c>
      <c r="C5" s="31">
        <v>15</v>
      </c>
      <c r="H5" s="41">
        <v>3000</v>
      </c>
      <c r="I5" s="38">
        <v>3</v>
      </c>
      <c r="J5" s="31">
        <f t="shared" si="0"/>
        <v>1</v>
      </c>
    </row>
    <row r="6" spans="2:13" x14ac:dyDescent="0.25">
      <c r="B6" s="32" t="s">
        <v>5</v>
      </c>
      <c r="C6" s="33">
        <v>16</v>
      </c>
      <c r="H6" s="39">
        <v>6000</v>
      </c>
      <c r="I6" s="40">
        <v>4</v>
      </c>
      <c r="J6" s="33">
        <f t="shared" si="0"/>
        <v>2</v>
      </c>
    </row>
    <row r="7" spans="2:13" x14ac:dyDescent="0.25">
      <c r="B7" s="30" t="s">
        <v>6</v>
      </c>
      <c r="C7" s="31">
        <v>16</v>
      </c>
      <c r="H7" s="41">
        <v>10000</v>
      </c>
      <c r="I7" s="38">
        <v>5</v>
      </c>
      <c r="J7" s="31">
        <f t="shared" si="0"/>
        <v>2</v>
      </c>
    </row>
    <row r="8" spans="2:13" ht="15.75" thickBot="1" x14ac:dyDescent="0.3">
      <c r="B8" s="34" t="s">
        <v>7</v>
      </c>
      <c r="C8" s="35">
        <v>16</v>
      </c>
      <c r="H8" s="39">
        <v>15000</v>
      </c>
      <c r="I8" s="40">
        <v>6</v>
      </c>
      <c r="J8" s="33">
        <f t="shared" si="0"/>
        <v>3</v>
      </c>
    </row>
    <row r="9" spans="2:13" ht="15.75" thickTop="1" x14ac:dyDescent="0.25">
      <c r="H9" s="41">
        <v>21000</v>
      </c>
      <c r="I9" s="38">
        <v>7</v>
      </c>
      <c r="J9" s="31">
        <f t="shared" si="0"/>
        <v>3</v>
      </c>
    </row>
    <row r="10" spans="2:13" x14ac:dyDescent="0.25">
      <c r="H10" s="39">
        <v>28000</v>
      </c>
      <c r="I10" s="40">
        <v>8</v>
      </c>
      <c r="J10" s="33">
        <f t="shared" si="0"/>
        <v>4</v>
      </c>
    </row>
    <row r="11" spans="2:13" ht="15.75" thickBot="1" x14ac:dyDescent="0.3">
      <c r="H11" s="41">
        <v>36000</v>
      </c>
      <c r="I11" s="38">
        <v>9</v>
      </c>
      <c r="J11" s="31">
        <f t="shared" si="0"/>
        <v>4</v>
      </c>
    </row>
    <row r="12" spans="2:13" ht="15.75" thickTop="1" x14ac:dyDescent="0.25">
      <c r="B12" s="28" t="s">
        <v>121</v>
      </c>
      <c r="C12" s="29">
        <f>3+Ligma!D5</f>
        <v>4</v>
      </c>
      <c r="H12" s="39">
        <v>45000</v>
      </c>
      <c r="I12" s="40">
        <v>10</v>
      </c>
      <c r="J12" s="33">
        <f t="shared" si="0"/>
        <v>5</v>
      </c>
    </row>
    <row r="13" spans="2:13" x14ac:dyDescent="0.25">
      <c r="B13" s="30" t="s">
        <v>117</v>
      </c>
      <c r="C13" s="31">
        <f>SUM(M3:M4)</f>
        <v>5</v>
      </c>
      <c r="H13" s="41">
        <v>55000</v>
      </c>
      <c r="I13" s="38">
        <v>11</v>
      </c>
      <c r="J13" s="31">
        <f t="shared" si="0"/>
        <v>5</v>
      </c>
    </row>
    <row r="14" spans="2:13" ht="15.75" thickBot="1" x14ac:dyDescent="0.3">
      <c r="B14" s="34"/>
      <c r="C14" s="35"/>
      <c r="H14" s="39">
        <v>66000</v>
      </c>
      <c r="I14" s="40">
        <v>12</v>
      </c>
      <c r="J14" s="33">
        <f t="shared" si="0"/>
        <v>6</v>
      </c>
    </row>
    <row r="15" spans="2:13" ht="16.5" thickTop="1" thickBot="1" x14ac:dyDescent="0.3">
      <c r="H15" s="41">
        <v>78000</v>
      </c>
      <c r="I15" s="38">
        <v>13</v>
      </c>
      <c r="J15" s="31">
        <f t="shared" si="0"/>
        <v>6</v>
      </c>
    </row>
    <row r="16" spans="2:13" ht="15.75" thickTop="1" x14ac:dyDescent="0.25">
      <c r="B16" s="50" t="s">
        <v>81</v>
      </c>
      <c r="C16" s="51" t="s">
        <v>160</v>
      </c>
      <c r="D16" s="51" t="s">
        <v>161</v>
      </c>
      <c r="E16" s="52" t="s">
        <v>30</v>
      </c>
      <c r="H16" s="39">
        <v>91000</v>
      </c>
      <c r="I16" s="40">
        <v>14</v>
      </c>
      <c r="J16" s="33">
        <f t="shared" si="0"/>
        <v>7</v>
      </c>
    </row>
    <row r="17" spans="2:10" x14ac:dyDescent="0.25">
      <c r="B17" s="32" t="s">
        <v>3</v>
      </c>
      <c r="C17" s="53">
        <v>0</v>
      </c>
      <c r="D17" s="53"/>
      <c r="E17" s="33">
        <f>SUM(C17:D17)</f>
        <v>0</v>
      </c>
      <c r="H17" s="41">
        <v>105000</v>
      </c>
      <c r="I17" s="38">
        <v>15</v>
      </c>
      <c r="J17" s="31">
        <f t="shared" si="0"/>
        <v>7</v>
      </c>
    </row>
    <row r="18" spans="2:10" x14ac:dyDescent="0.25">
      <c r="B18" s="30" t="s">
        <v>4</v>
      </c>
      <c r="C18" s="38">
        <v>2</v>
      </c>
      <c r="D18" s="38"/>
      <c r="E18" s="31">
        <f t="shared" ref="E18:E22" si="1">SUM(C18:D18)</f>
        <v>2</v>
      </c>
      <c r="H18" s="39">
        <v>120000</v>
      </c>
      <c r="I18" s="40">
        <v>16</v>
      </c>
      <c r="J18" s="33">
        <f t="shared" si="0"/>
        <v>8</v>
      </c>
    </row>
    <row r="19" spans="2:10" x14ac:dyDescent="0.25">
      <c r="B19" s="32" t="s">
        <v>12</v>
      </c>
      <c r="C19" s="53">
        <v>-2</v>
      </c>
      <c r="D19" s="53"/>
      <c r="E19" s="33">
        <f t="shared" si="1"/>
        <v>-2</v>
      </c>
      <c r="H19" s="41">
        <v>136000</v>
      </c>
      <c r="I19" s="38">
        <v>17</v>
      </c>
      <c r="J19" s="31">
        <f t="shared" si="0"/>
        <v>8</v>
      </c>
    </row>
    <row r="20" spans="2:10" x14ac:dyDescent="0.25">
      <c r="B20" s="30" t="s">
        <v>5</v>
      </c>
      <c r="C20" s="38">
        <v>4</v>
      </c>
      <c r="D20" s="38">
        <v>2</v>
      </c>
      <c r="E20" s="31">
        <f t="shared" si="1"/>
        <v>6</v>
      </c>
      <c r="H20" s="39">
        <v>153000</v>
      </c>
      <c r="I20" s="40">
        <v>18</v>
      </c>
      <c r="J20" s="33">
        <f t="shared" si="0"/>
        <v>9</v>
      </c>
    </row>
    <row r="21" spans="2:10" x14ac:dyDescent="0.25">
      <c r="B21" s="32" t="s">
        <v>6</v>
      </c>
      <c r="C21" s="53">
        <v>0</v>
      </c>
      <c r="D21" s="53">
        <v>2</v>
      </c>
      <c r="E21" s="33">
        <f t="shared" si="1"/>
        <v>2</v>
      </c>
      <c r="H21" s="41">
        <v>171000</v>
      </c>
      <c r="I21" s="38">
        <v>19</v>
      </c>
      <c r="J21" s="31">
        <f t="shared" si="0"/>
        <v>9</v>
      </c>
    </row>
    <row r="22" spans="2:10" ht="15.75" thickBot="1" x14ac:dyDescent="0.3">
      <c r="B22" s="54" t="s">
        <v>7</v>
      </c>
      <c r="C22" s="55">
        <v>0</v>
      </c>
      <c r="D22" s="55"/>
      <c r="E22" s="56">
        <f t="shared" si="1"/>
        <v>0</v>
      </c>
      <c r="H22" s="42">
        <v>190000</v>
      </c>
      <c r="I22" s="43">
        <v>20</v>
      </c>
      <c r="J22" s="35">
        <f t="shared" si="0"/>
        <v>10</v>
      </c>
    </row>
    <row r="23" spans="2:10" ht="15.75" thickTop="1" x14ac:dyDescent="0.25"/>
  </sheetData>
  <mergeCells count="1">
    <mergeCell ref="B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Ligma</vt:lpstr>
      <vt:lpstr>Poderes</vt:lpstr>
      <vt:lpstr>Testes</vt:lpstr>
      <vt:lpstr>Livro de Fórmulas</vt:lpstr>
      <vt:lpstr>Inventário</vt:lpstr>
      <vt:lpstr>Perícias</vt:lpstr>
      <vt:lpstr>Perícias (Cópia)</vt:lpstr>
      <vt:lpstr>uns dados aí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Luciano Segundo</cp:lastModifiedBy>
  <dcterms:created xsi:type="dcterms:W3CDTF">2024-07-27T17:21:25Z</dcterms:created>
  <dcterms:modified xsi:type="dcterms:W3CDTF">2025-01-12T22:27:00Z</dcterms:modified>
</cp:coreProperties>
</file>