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zi\Documents\RPG\"/>
    </mc:Choice>
  </mc:AlternateContent>
  <xr:revisionPtr revIDLastSave="0" documentId="13_ncr:1_{B96136D0-FFE8-45B3-B13E-B3E701C57436}" xr6:coauthVersionLast="47" xr6:coauthVersionMax="47" xr10:uidLastSave="{00000000-0000-0000-0000-000000000000}"/>
  <bookViews>
    <workbookView xWindow="-120" yWindow="-120" windowWidth="20730" windowHeight="11760" xr2:uid="{B06712FB-01E1-4038-87FF-6E8B7BD1F9D8}"/>
  </bookViews>
  <sheets>
    <sheet name="Linux" sheetId="1" r:id="rId1"/>
    <sheet name="Testes" sheetId="5" state="hidden" r:id="rId2"/>
    <sheet name="Equipamento" sheetId="2" r:id="rId3"/>
    <sheet name="Perícias" sheetId="3" r:id="rId4"/>
    <sheet name="Planilha1" sheetId="6" r:id="rId5"/>
    <sheet name="uns dados aí" sheetId="4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5" i="1"/>
  <c r="O5" i="1"/>
  <c r="Q13" i="3"/>
  <c r="C7" i="1"/>
  <c r="B11" i="4"/>
  <c r="B12" i="4" s="1"/>
  <c r="B13" i="4" s="1"/>
  <c r="B14" i="4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" i="5"/>
  <c r="B21" i="5"/>
  <c r="B22" i="5"/>
  <c r="B23" i="5"/>
  <c r="B24" i="5"/>
  <c r="B25" i="5"/>
  <c r="B26" i="5"/>
  <c r="B27" i="5"/>
  <c r="B28" i="5"/>
  <c r="B29" i="5"/>
  <c r="B30" i="5"/>
  <c r="B3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3" i="5"/>
  <c r="G2" i="1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3" i="4"/>
  <c r="F4" i="3"/>
  <c r="F6" i="3"/>
  <c r="F7" i="3"/>
  <c r="F8" i="3"/>
  <c r="F9" i="3"/>
  <c r="F10" i="3"/>
  <c r="F11" i="3"/>
  <c r="F13" i="3"/>
  <c r="F14" i="3"/>
  <c r="F16" i="3"/>
  <c r="F17" i="3"/>
  <c r="F18" i="3"/>
  <c r="F19" i="3"/>
  <c r="F20" i="3"/>
  <c r="F22" i="3"/>
  <c r="F23" i="3"/>
  <c r="F24" i="3"/>
  <c r="F25" i="3"/>
  <c r="F26" i="3"/>
  <c r="F27" i="3"/>
  <c r="F29" i="3"/>
  <c r="F30" i="3"/>
  <c r="F31" i="3"/>
  <c r="D16" i="1"/>
  <c r="G3" i="1"/>
  <c r="C5" i="1"/>
  <c r="D5" i="1" s="1"/>
  <c r="C6" i="1"/>
  <c r="D6" i="1" s="1"/>
  <c r="D18" i="3" s="1"/>
  <c r="K18" i="3" s="1"/>
  <c r="C3" i="1"/>
  <c r="D3" i="1" s="1"/>
  <c r="C4" i="1"/>
  <c r="D4" i="1" s="1"/>
  <c r="C8" i="1"/>
  <c r="D8" i="1" s="1"/>
  <c r="D7" i="1"/>
  <c r="I16" i="1"/>
  <c r="H16" i="1"/>
  <c r="C16" i="1"/>
  <c r="E31" i="3" l="1"/>
  <c r="G5" i="1"/>
  <c r="F5" i="3"/>
  <c r="F3" i="3"/>
  <c r="F15" i="3"/>
  <c r="F28" i="3"/>
  <c r="F12" i="3"/>
  <c r="C9" i="2"/>
  <c r="G16" i="1" s="1"/>
  <c r="F21" i="3"/>
  <c r="H4" i="1"/>
  <c r="G4" i="1" s="1"/>
  <c r="E3" i="3"/>
  <c r="E11" i="3"/>
  <c r="E12" i="3"/>
  <c r="E13" i="3"/>
  <c r="E14" i="3"/>
  <c r="E15" i="3"/>
  <c r="E4" i="3"/>
  <c r="E16" i="3"/>
  <c r="E5" i="3"/>
  <c r="E17" i="3"/>
  <c r="E6" i="3"/>
  <c r="E18" i="3"/>
  <c r="C18" i="5" s="1"/>
  <c r="E18" i="5" s="1"/>
  <c r="E7" i="3"/>
  <c r="E19" i="3"/>
  <c r="E8" i="3"/>
  <c r="E20" i="3"/>
  <c r="E9" i="3"/>
  <c r="E22" i="3"/>
  <c r="E10" i="3"/>
  <c r="E24" i="3"/>
  <c r="E21" i="3"/>
  <c r="E23" i="3"/>
  <c r="E25" i="3"/>
  <c r="E26" i="3"/>
  <c r="E27" i="3"/>
  <c r="E28" i="3"/>
  <c r="E29" i="3"/>
  <c r="E30" i="3"/>
  <c r="D25" i="3"/>
  <c r="K25" i="3" s="1"/>
  <c r="D29" i="3"/>
  <c r="K29" i="3" s="1"/>
  <c r="D9" i="3"/>
  <c r="K9" i="3" s="1"/>
  <c r="D31" i="3"/>
  <c r="D30" i="3"/>
  <c r="K30" i="3" s="1"/>
  <c r="D17" i="3"/>
  <c r="K17" i="3" s="1"/>
  <c r="D12" i="3"/>
  <c r="H3" i="1"/>
  <c r="D7" i="3"/>
  <c r="K7" i="3" s="1"/>
  <c r="D27" i="3"/>
  <c r="K27" i="3" s="1"/>
  <c r="D3" i="3"/>
  <c r="D20" i="3"/>
  <c r="K20" i="3" s="1"/>
  <c r="D28" i="3"/>
  <c r="K28" i="3" s="1"/>
  <c r="D15" i="3"/>
  <c r="D26" i="3"/>
  <c r="K26" i="3" s="1"/>
  <c r="D13" i="3"/>
  <c r="K13" i="3" s="1"/>
  <c r="D21" i="3"/>
  <c r="D5" i="3"/>
  <c r="K5" i="3" s="1"/>
  <c r="D19" i="3"/>
  <c r="K19" i="3" s="1"/>
  <c r="D10" i="3"/>
  <c r="K10" i="3" s="1"/>
  <c r="D6" i="3"/>
  <c r="K6" i="3" s="1"/>
  <c r="D4" i="3"/>
  <c r="K4" i="3" s="1"/>
  <c r="D11" i="3"/>
  <c r="K11" i="3" s="1"/>
  <c r="D16" i="3"/>
  <c r="K16" i="3" s="1"/>
  <c r="D23" i="3"/>
  <c r="K23" i="3" s="1"/>
  <c r="D24" i="3"/>
  <c r="K24" i="3" s="1"/>
  <c r="D14" i="3"/>
  <c r="K14" i="3" s="1"/>
  <c r="D22" i="3"/>
  <c r="K22" i="3" s="1"/>
  <c r="D8" i="3"/>
  <c r="K8" i="3" s="1"/>
  <c r="K15" i="3" l="1"/>
  <c r="K21" i="3"/>
  <c r="K31" i="3"/>
  <c r="C31" i="5" s="1"/>
  <c r="E31" i="5" s="1"/>
  <c r="G7" i="1"/>
  <c r="K3" i="3"/>
  <c r="C3" i="5" s="1"/>
  <c r="E3" i="5" s="1"/>
  <c r="K12" i="3"/>
  <c r="C12" i="5" s="1"/>
  <c r="E12" i="5" s="1"/>
  <c r="C5" i="5"/>
  <c r="E5" i="5" s="1"/>
  <c r="C11" i="5"/>
  <c r="E11" i="5" s="1"/>
  <c r="C19" i="5"/>
  <c r="E19" i="5" s="1"/>
  <c r="C15" i="5"/>
  <c r="E15" i="5" s="1"/>
  <c r="C8" i="5"/>
  <c r="E8" i="5" s="1"/>
  <c r="C22" i="5"/>
  <c r="E22" i="5" s="1"/>
  <c r="C13" i="5"/>
  <c r="E13" i="5" s="1"/>
  <c r="C14" i="5"/>
  <c r="E14" i="5" s="1"/>
  <c r="C24" i="5"/>
  <c r="E24" i="5" s="1"/>
  <c r="C26" i="5"/>
  <c r="E26" i="5" s="1"/>
  <c r="C16" i="5"/>
  <c r="E16" i="5" s="1"/>
  <c r="C4" i="5"/>
  <c r="E4" i="5" s="1"/>
  <c r="C6" i="5"/>
  <c r="E6" i="5" s="1"/>
  <c r="C17" i="5"/>
  <c r="E17" i="5" s="1"/>
  <c r="C10" i="5"/>
  <c r="E10" i="5" s="1"/>
  <c r="C7" i="5"/>
  <c r="E7" i="5" s="1"/>
  <c r="C9" i="5"/>
  <c r="E9" i="5" s="1"/>
  <c r="C23" i="5"/>
  <c r="E23" i="5" s="1"/>
  <c r="C28" i="5"/>
  <c r="E28" i="5" s="1"/>
  <c r="C20" i="5"/>
  <c r="E20" i="5" s="1"/>
  <c r="C29" i="5"/>
  <c r="E29" i="5" s="1"/>
  <c r="C27" i="5"/>
  <c r="E27" i="5" s="1"/>
  <c r="C30" i="5"/>
  <c r="E30" i="5" s="1"/>
  <c r="C25" i="5" l="1"/>
  <c r="E25" i="5" s="1"/>
  <c r="G6" i="1"/>
  <c r="K3" i="1"/>
  <c r="K5" i="1" s="1"/>
  <c r="C21" i="5"/>
  <c r="E21" i="5" s="1"/>
  <c r="H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Luciano Segundo</author>
    <author>tc={538AFFB3-2328-A843-904D-BD1DAA52EB6E}</author>
    <author>tc={6F7565A9-F490-6542-86DD-390AB8447FA0}</author>
    <author>tc={04C76FBA-D80F-E749-82C4-9683FA7575A6}</author>
    <author>tc={9CB3C320-71C7-014F-9052-8C21F0BD855A}</author>
    <author>tc={1939092A-367E-5B4B-932D-144ECED55EC5}</author>
  </authors>
  <commentList>
    <comment ref="E20" authorId="0" shapeId="0" xr:uid="{B2CCAE0F-4F71-404D-8508-954C5DED557B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Você recebe +2 em testes de
ataque para agarrar e derrubar. Quando agarra uma
criatura, pode gastar 1 PM para fazer uma manobra
derrubar contra ela como uma ação livre.</t>
        </r>
      </text>
    </comment>
    <comment ref="E21" authorId="0" shapeId="0" xr:uid="{2469D048-9993-4D44-BA0A-1A9D4425E6ED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Se você errar um ataque desarmado, recebe um bônus cumulativo de +2 em
testes de ataque e rolagens de dano desarmado
contra o mesmo oponente. Os bônus terminam
quando você acertar um ataque ou no fim da cena,
o que acontecer primeiro.</t>
        </r>
      </text>
    </comment>
    <comment ref="E22" authorId="0" shapeId="0" xr:uid="{3E80733A-722C-434A-8DEE-B064E37B52C9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Você recebe +2 em testes de ataque
e rolagens de dano contra oponentes caídos, desprevenidos, flanqueados ou indefesos.</t>
        </r>
      </text>
    </comment>
    <comment ref="E23" authorId="0" shapeId="0" xr:uid="{11FA0ADA-6DF8-46AD-B5D1-E00E4D729FD2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Quando faz uma investida desarmada,
você pode gastar 2 PM. Se fizer isso, recebe +1d6
no dano para cada 3m que se deslocar até chegar ao
oponente, limitado pelo seu nível.</t>
        </r>
      </text>
    </comment>
    <comment ref="E24" authorId="0" shapeId="0" xr:uid="{CD6FDC07-E23E-4FF4-A09F-FAC1ACEA51B5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Declare que está usando este poder antes de
fazer um ataque corpo a corpo. Você sofre –2 no
teste de ataque, mas recebe +5 na rolagem de dano.
Pré-requisito: For 13.</t>
        </r>
      </text>
    </comment>
    <comment ref="E25" authorId="0" shapeId="0" xr:uid="{55066683-8548-439A-9914-789BDC1F11E9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Quando você começa a bater, não
para mais. Ao acertar um ataque desarmado, pode
fazer outro ataque desarmado contra o mesmo alvo,
pagando uma quantidade de PM igual à quantidade
de ataques já realizados no turno. Ou seja, pode fazer
o primeiro ataque extra gastando 1 PM, um segundo
ataque extra gastando mais 2 PM e assim por diante,
até errar um ataque ou não ter mais pontos de mana.
Pré-requisito: 6º nível de lutador.</t>
        </r>
      </text>
    </comment>
    <comment ref="E26" authorId="0" shapeId="0" xr:uid="{92AD2717-4028-49C4-852B-79AA98B077A4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Você recebe +2 em Atletismo e +3m em seu
deslocamento. Pré-requisito: For 15.</t>
        </r>
      </text>
    </comment>
    <comment ref="E27" authorId="0" shapeId="0" xr:uid="{337B65E5-6DB9-444F-A5C7-7511F64CDD68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Seus ataques desarmados
ignoram 10 pontos de resistência a dano do alvo, se
houver. Pré-requisito: 8º nível de lutador.</t>
        </r>
      </text>
    </comment>
    <comment ref="E28" authorId="0" shapeId="0" xr:uid="{AE1BBA9D-1A6A-4923-9ED3-AB7C5EB9F046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Quando faz um ataque desarmado,
você pode gastar 2 PM. Se fizer isso e acertar o ataque, o oponente fica caído.</t>
        </r>
      </text>
    </comment>
    <comment ref="E29" authorId="0" shapeId="0" xr:uid="{931D3078-69E6-4CB5-B04B-AD76E4876F19}">
      <text>
        <r>
          <rPr>
            <b/>
            <sz val="9"/>
            <color indexed="81"/>
            <rFont val="Segoe UI"/>
            <family val="2"/>
          </rPr>
          <t>Luciano Segundo:</t>
        </r>
        <r>
          <rPr>
            <sz val="9"/>
            <color indexed="81"/>
            <rFont val="Segoe UI"/>
            <family val="2"/>
          </rPr>
          <t xml:space="preserve">
Quando faz um ataque desarmado,
você pode gastar 2 PM. Se fizer isso, o oponente fica
desprevenido contra este ataque. Você só pode usar
este poder uma vez por cena contra uma mesma
criatura.</t>
        </r>
      </text>
    </comment>
    <comment ref="C43" authorId="1" shapeId="0" xr:uid="{538AFFB3-2328-A843-904D-BD1DAA52EB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Ação mov. e 2 PM pra ganhar mais uma ação padrão.</t>
      </text>
    </comment>
    <comment ref="C44" authorId="2" shapeId="0" xr:uid="{6F7565A9-F490-6542-86DD-390AB8447F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Quando usa a ação atacar para fazer um ataque desarmado, você pode gastar 1 PM para realizar um ataque desarmado adicional.</t>
      </text>
    </comment>
    <comment ref="C45" authorId="3" shapeId="0" xr:uid="{04C76FBA-D80F-E749-82C4-9683FA7575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7PM, reação bloqueio, some +10 na sua CD de bloqueio e considere o valor total para bloquear totalmente o ataque, ao invés de considerar apenas a defesa</t>
      </text>
    </comment>
    <comment ref="C46" authorId="4" shapeId="0" xr:uid="{9CB3C320-71C7-014F-9052-8C21F0BD85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5PM, ação mov, sua margem de ameaça com ataques desarmados aumenta em +2 pro resto do combate</t>
      </text>
    </comment>
    <comment ref="C47" authorId="5" shapeId="0" xr:uid="{1939092A-367E-5B4B-932D-144ECED55E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3PM, ação livre, caso acerte um golpe, pode causar sangramento no alvo com os espinhos das vinhas, causando 1d8+4 de dano de sangramento por 1d4 turnos</t>
      </text>
    </comment>
  </commentList>
</comments>
</file>

<file path=xl/sharedStrings.xml><?xml version="1.0" encoding="utf-8"?>
<sst xmlns="http://schemas.openxmlformats.org/spreadsheetml/2006/main" count="290" uniqueCount="144">
  <si>
    <t>Atributos</t>
  </si>
  <si>
    <t>HP</t>
  </si>
  <si>
    <t>PM</t>
  </si>
  <si>
    <t>FOR</t>
  </si>
  <si>
    <t>DES</t>
  </si>
  <si>
    <t>INT</t>
  </si>
  <si>
    <t>SAB</t>
  </si>
  <si>
    <t>CAR</t>
  </si>
  <si>
    <t>MOD</t>
  </si>
  <si>
    <t>Nível</t>
  </si>
  <si>
    <t>DEF</t>
  </si>
  <si>
    <t>Procentagem</t>
  </si>
  <si>
    <t>CON</t>
  </si>
  <si>
    <t>Equipamento</t>
  </si>
  <si>
    <t>Armadura de Couro</t>
  </si>
  <si>
    <t>Armaduras</t>
  </si>
  <si>
    <t>Item</t>
  </si>
  <si>
    <t>Bônus</t>
  </si>
  <si>
    <t>Penalidade</t>
  </si>
  <si>
    <t>Peso</t>
  </si>
  <si>
    <t>7kg</t>
  </si>
  <si>
    <t>Armadura</t>
  </si>
  <si>
    <t>Arma</t>
  </si>
  <si>
    <t>Dano</t>
  </si>
  <si>
    <t>Especial</t>
  </si>
  <si>
    <t>Armas</t>
  </si>
  <si>
    <t>Crítico</t>
  </si>
  <si>
    <t>Ataque Desarmado</t>
  </si>
  <si>
    <t>1d10</t>
  </si>
  <si>
    <t>Poder</t>
  </si>
  <si>
    <t>x3</t>
  </si>
  <si>
    <t>Perícia</t>
  </si>
  <si>
    <t>Treinada?</t>
  </si>
  <si>
    <t>Total</t>
  </si>
  <si>
    <t>1/2 Nível</t>
  </si>
  <si>
    <t>Poderes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</si>
  <si>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</si>
  <si>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</si>
  <si>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</si>
  <si>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</si>
  <si>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</si>
  <si>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</si>
  <si>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</si>
  <si>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</si>
  <si>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</si>
  <si>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Nível 10</t>
  </si>
  <si>
    <t>Somente Treinada?</t>
  </si>
  <si>
    <t>Penalidade de Armadura?</t>
  </si>
  <si>
    <t>Acrobacia</t>
  </si>
  <si>
    <t>Des</t>
  </si>
  <si>
    <t>—</t>
  </si>
  <si>
    <t>sim</t>
  </si>
  <si>
    <t>Adestramento</t>
  </si>
  <si>
    <t>Car</t>
  </si>
  <si>
    <t>Atletismo</t>
  </si>
  <si>
    <t>For</t>
  </si>
  <si>
    <t>Atuação</t>
  </si>
  <si>
    <t>Cavalgar</t>
  </si>
  <si>
    <t>Conhecimento</t>
  </si>
  <si>
    <t>Int</t>
  </si>
  <si>
    <t>Cura</t>
  </si>
  <si>
    <t>Sab</t>
  </si>
  <si>
    <t>Diplomacia</t>
  </si>
  <si>
    <t>Enganação</t>
  </si>
  <si>
    <t>Fortitude</t>
  </si>
  <si>
    <t>Con</t>
  </si>
  <si>
    <t>Furtividade</t>
  </si>
  <si>
    <t>Guerra</t>
  </si>
  <si>
    <t>Iniciativa</t>
  </si>
  <si>
    <t>Intimidação</t>
  </si>
  <si>
    <t>Intuição</t>
  </si>
  <si>
    <t>Investigação</t>
  </si>
  <si>
    <t>Jogatina</t>
  </si>
  <si>
    <t>Ladinagem</t>
  </si>
  <si>
    <t>Luta</t>
  </si>
  <si>
    <t>Misticismo</t>
  </si>
  <si>
    <t>Nobreza</t>
  </si>
  <si>
    <t>Ofício</t>
  </si>
  <si>
    <t>Percepção</t>
  </si>
  <si>
    <t>Pilotagem</t>
  </si>
  <si>
    <t>Pontaria</t>
  </si>
  <si>
    <t>Reflexos</t>
  </si>
  <si>
    <t>Religião</t>
  </si>
  <si>
    <t>Sobrevivência</t>
  </si>
  <si>
    <t>Vontade</t>
  </si>
  <si>
    <t>ATR</t>
  </si>
  <si>
    <t>Treino</t>
  </si>
  <si>
    <t>Bônus Treino</t>
  </si>
  <si>
    <t>Nível 15</t>
  </si>
  <si>
    <t>Sim</t>
  </si>
  <si>
    <t>Não</t>
  </si>
  <si>
    <t>Nível 11</t>
  </si>
  <si>
    <t>Nível 12</t>
  </si>
  <si>
    <t>Nível 13</t>
  </si>
  <si>
    <t>Nível 14</t>
  </si>
  <si>
    <t>Nível 16</t>
  </si>
  <si>
    <t>Nível 17</t>
  </si>
  <si>
    <t>Nível 18</t>
  </si>
  <si>
    <t>Nível 19</t>
  </si>
  <si>
    <t>Nível 20</t>
  </si>
  <si>
    <t>Até Acertar</t>
  </si>
  <si>
    <t>Ataque Poderoso</t>
  </si>
  <si>
    <t>Atlético</t>
  </si>
  <si>
    <t>PG</t>
  </si>
  <si>
    <t>PL</t>
  </si>
  <si>
    <t>Lutador de Chão</t>
  </si>
  <si>
    <t>Valentão</t>
  </si>
  <si>
    <t>Voadora</t>
  </si>
  <si>
    <t>Punhos de Adamante</t>
  </si>
  <si>
    <t>Rasteira</t>
  </si>
  <si>
    <t>Cabeçada</t>
  </si>
  <si>
    <t>Trocação</t>
  </si>
  <si>
    <t>Ataques Falhos</t>
  </si>
  <si>
    <t>Grana</t>
  </si>
  <si>
    <t>EXP</t>
  </si>
  <si>
    <t>Próximo Teste</t>
  </si>
  <si>
    <t>Outros Poderes</t>
  </si>
  <si>
    <t>Velocidade</t>
  </si>
  <si>
    <t>Golpe Relâmpago</t>
  </si>
  <si>
    <t>Raça</t>
  </si>
  <si>
    <t>Turnos</t>
  </si>
  <si>
    <t>Descrição</t>
  </si>
  <si>
    <t>Ações</t>
  </si>
  <si>
    <t>Status Anteriores</t>
  </si>
  <si>
    <t>1d6</t>
  </si>
  <si>
    <t>1d8</t>
  </si>
  <si>
    <t>2d6</t>
  </si>
  <si>
    <t>2d8</t>
  </si>
  <si>
    <t>2d10</t>
  </si>
  <si>
    <t>Nível de Personagem</t>
  </si>
  <si>
    <t>Pontos de Experiência</t>
  </si>
  <si>
    <t>Bônus em Perícias</t>
  </si>
  <si>
    <t>Teste</t>
  </si>
  <si>
    <t>D20</t>
  </si>
  <si>
    <t>Erros</t>
  </si>
  <si>
    <t>Punhos Espinhosos</t>
  </si>
  <si>
    <t>Raízes do Mal</t>
  </si>
  <si>
    <t>Vinhas de Nidhogg</t>
  </si>
  <si>
    <t>Block</t>
  </si>
  <si>
    <t>Contra-ataque</t>
  </si>
  <si>
    <t>Casca Grossa</t>
  </si>
  <si>
    <t>Bônus Habilidade</t>
  </si>
  <si>
    <t>Penalidades</t>
  </si>
  <si>
    <t>Ataquei sem gastar 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</si>
</sst>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7.5"/>
      <color rgb="FF231F20"/>
      <name val="Palatino Linotype"/>
      <family val="1"/>
    </font>
    <font>
      <b/>
      <sz val="10"/>
      <color rgb="FF231F20"/>
      <name val="Palatino Linotype"/>
      <family val="1"/>
    </font>
    <font>
      <sz val="9"/>
      <color rgb="FF231F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231F20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D7CFCB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7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7" fillId="3" borderId="22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3" fontId="7" fillId="2" borderId="4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0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Palatino Linotype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31F20"/>
        <name val="Palatino Linotype"/>
        <family val="1"/>
        <scheme val="none"/>
      </font>
      <fill>
        <patternFill patternType="solid">
          <fgColor indexed="64"/>
          <bgColor rgb="FFD7CFCB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ANO SEABRA DA ROCHA SEGUNDO" id="{CEA925B4-A2B2-D946-8646-9F719FD5AB47}" userId="S::luciano.segundo@senaisp.edu.br::4842363d-b790-4429-8143-6bc5208e41a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38B72-5BEC-4A97-A0DA-A810BF14F697}" name="Tabela1" displayName="Tabela1" ref="B2:N31" totalsRowShown="0" headerRowDxfId="17" dataDxfId="15" headerRowBorderDxfId="16" tableBorderDxfId="14" totalsRowBorderDxfId="13">
  <autoFilter ref="B2:N31" xr:uid="{E9B38B72-5BEC-4A97-A0DA-A810BF14F697}"/>
  <sortState xmlns:xlrd2="http://schemas.microsoft.com/office/spreadsheetml/2017/richdata2" ref="B3:N31">
    <sortCondition ref="B2:B31"/>
  </sortState>
  <tableColumns count="13">
    <tableColumn id="1" xr3:uid="{35823DB3-F1AE-4CDE-BCEB-3F67A161199D}" name="Perícia" dataDxfId="12"/>
    <tableColumn id="11" xr3:uid="{71D30AF6-6ECB-4DCC-B970-0C8671D1D99E}" name="ATR" dataDxfId="11"/>
    <tableColumn id="2" xr3:uid="{F48A0B7A-BF4E-4E96-855A-EF5F80CD02AF}" name="MOD" dataDxfId="10">
      <calculatedColumnFormula>VLOOKUP(C3,Linux!$B$3:$D$8,3,FALSE)</calculatedColumnFormula>
    </tableColumn>
    <tableColumn id="3" xr3:uid="{A5C55ADC-017F-4BF3-96EE-DA8B584D4A98}" name="1/2 Nível" dataDxfId="9">
      <calculatedColumnFormula>VLOOKUP(Linux!$G$2,'uns dados aí'!$I$3:$J$22,2,FALSE)</calculatedColumnFormula>
    </tableColumn>
    <tableColumn id="4" xr3:uid="{271DCFED-97F3-476E-9BF9-01CA669D22C9}" name="Treino" dataDxfId="8">
      <calculatedColumnFormula>IF(Tabela1[[#This Row],[Treinada?]]="sim",VLOOKUP(Linux!$G$2,'uns dados aí'!$E$2:$F$4,2,TRUE),"")</calculatedColumnFormula>
    </tableColumn>
    <tableColumn id="10" xr3:uid="{0597BDAA-ECFD-4424-8BC9-0A2726873A2D}" name="Raça" dataDxfId="7"/>
    <tableColumn id="5" xr3:uid="{DC4DD309-E0D5-4BFA-B599-712B0D96915F}" name="Bônus" dataDxfId="6"/>
    <tableColumn id="9" xr3:uid="{4B403395-1BD1-4EED-8C7D-DFC601AD6CFC}" name="Bônus Habilidade" dataDxfId="5"/>
    <tableColumn id="13" xr3:uid="{D86C0883-F2BD-44D4-83D8-8F3CCA4E5B95}" name="Penalidades" dataDxfId="1"/>
    <tableColumn id="6" xr3:uid="{FA043140-F4F5-450A-8642-B2838683E293}" name="Total" dataDxfId="0">
      <calculatedColumnFormula>SUM(Tabela1[[#This Row],[MOD]:[Penalidades]])-IF(Tabela1[[#This Row],[Penalidade de Armadura?]]="sim",Linux!D16,0)</calculatedColumnFormula>
    </tableColumn>
    <tableColumn id="7" xr3:uid="{32CFEA9E-CDB7-467A-9741-E969780B88CF}" name="Treinada?" dataDxfId="4"/>
    <tableColumn id="12" xr3:uid="{4D510E34-D284-49F1-9685-C49F70168A12}" name="Somente Treinada?" dataDxfId="3"/>
    <tableColumn id="8" xr3:uid="{DA0D8D90-A3BF-4F51-8AAE-F48C1576B17E}" name="Penalidade de Armadura?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3" dT="2024-07-28T08:13:37.73" personId="{CEA925B4-A2B2-D946-8646-9F719FD5AB47}" id="{538AFFB3-2328-A843-904D-BD1DAA52EB6E}">
    <text>Ação mov. e 2 PM pra ganhar mais uma ação padrão.</text>
  </threadedComment>
  <threadedComment ref="C44" dT="2024-07-28T08:13:21.46" personId="{CEA925B4-A2B2-D946-8646-9F719FD5AB47}" id="{6F7565A9-F490-6542-86DD-390AB8447FA0}">
    <text>Quando usa a ação atacar para fazer um ataque desarmado, você pode gastar 1 PM para realizar um ataque desarmado adicional.</text>
  </threadedComment>
  <threadedComment ref="C45" dT="2024-07-28T08:12:27.99" personId="{CEA925B4-A2B2-D946-8646-9F719FD5AB47}" id="{04C76FBA-D80F-E749-82C4-9683FA7575A6}">
    <text>7PM, reação bloqueio, some +10 na sua CD de bloqueio e considere o valor total para bloquear totalmente o ataque, ao invés de considerar apenas a defesa</text>
  </threadedComment>
  <threadedComment ref="C46" dT="2024-07-28T08:12:46.13" personId="{CEA925B4-A2B2-D946-8646-9F719FD5AB47}" id="{9CB3C320-71C7-014F-9052-8C21F0BD855A}">
    <text>5PM, ação mov, sua margem de ameaça com ataques desarmados aumenta em +2 pro resto do combate</text>
  </threadedComment>
  <threadedComment ref="C47" dT="2024-07-28T08:13:01.38" personId="{CEA925B4-A2B2-D946-8646-9F719FD5AB47}" id="{1939092A-367E-5B4B-932D-144ECED55EC5}">
    <text>3PM, ação livre, caso acerte um golpe, pode causar sangramento no alvo com os espinhos das vinhas, causando 1d8+4 de dano de sangramento por 1d4 turnos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2E24-4638-4394-AA75-6D064ADBD3D9}">
  <dimension ref="B1:P47"/>
  <sheetViews>
    <sheetView tabSelected="1" zoomScale="86" zoomScaleNormal="100" workbookViewId="0">
      <selection activeCell="N8" sqref="N8"/>
    </sheetView>
  </sheetViews>
  <sheetFormatPr defaultRowHeight="15" x14ac:dyDescent="0.25"/>
  <cols>
    <col min="2" max="2" width="12.42578125" bestFit="1" customWidth="1"/>
    <col min="3" max="3" width="6.140625" bestFit="1" customWidth="1"/>
    <col min="4" max="4" width="11.85546875" customWidth="1"/>
    <col min="6" max="6" width="14.5703125" customWidth="1"/>
    <col min="7" max="7" width="7.85546875" customWidth="1"/>
    <col min="8" max="8" width="7.85546875" bestFit="1" customWidth="1"/>
    <col min="9" max="9" width="6" bestFit="1" customWidth="1"/>
    <col min="10" max="10" width="14.5703125" bestFit="1" customWidth="1"/>
    <col min="13" max="13" width="16" bestFit="1" customWidth="1"/>
    <col min="16" max="16" width="36.42578125" customWidth="1"/>
  </cols>
  <sheetData>
    <row r="1" spans="2:16" ht="15.75" thickBot="1" x14ac:dyDescent="0.3"/>
    <row r="2" spans="2:16" ht="15.75" customHeight="1" thickTop="1" x14ac:dyDescent="0.25">
      <c r="B2" s="64" t="s">
        <v>0</v>
      </c>
      <c r="C2" s="65"/>
      <c r="D2" s="3" t="s">
        <v>8</v>
      </c>
      <c r="F2" s="2" t="s">
        <v>9</v>
      </c>
      <c r="G2" s="65">
        <f>VLOOKUP(G10,'uns dados aí'!$H$2:$I$22,2,TRUE)</f>
        <v>10</v>
      </c>
      <c r="H2" s="81"/>
      <c r="J2" s="64" t="s">
        <v>100</v>
      </c>
      <c r="K2" s="81"/>
      <c r="M2" s="64" t="s">
        <v>122</v>
      </c>
      <c r="N2" s="65"/>
      <c r="O2" s="65"/>
      <c r="P2" s="81"/>
    </row>
    <row r="3" spans="2:16" x14ac:dyDescent="0.25">
      <c r="B3" s="25" t="s">
        <v>3</v>
      </c>
      <c r="C3" s="20">
        <f>18+(VLOOKUP(B3,Perícias!$P$7:$Q$13,2,FALSE))</f>
        <v>20</v>
      </c>
      <c r="D3" s="26">
        <f t="shared" ref="D3:D8" si="0">ROUNDDOWN((C3-10)/2,0)</f>
        <v>5</v>
      </c>
      <c r="F3" s="25" t="s">
        <v>1</v>
      </c>
      <c r="G3" s="20">
        <f>86-N25-SUM(N4:N22)</f>
        <v>28</v>
      </c>
      <c r="H3" s="26">
        <f>21+((G2-1)*(5+D5))+2</f>
        <v>86</v>
      </c>
      <c r="J3" s="30" t="s">
        <v>74</v>
      </c>
      <c r="K3" s="31">
        <f>Perícias!$K$21</f>
        <v>19</v>
      </c>
      <c r="M3" s="25" t="s">
        <v>120</v>
      </c>
      <c r="N3" s="20" t="s">
        <v>1</v>
      </c>
      <c r="O3" s="20" t="s">
        <v>2</v>
      </c>
      <c r="P3" s="26" t="s">
        <v>121</v>
      </c>
    </row>
    <row r="4" spans="2:16" ht="15.75" thickBot="1" x14ac:dyDescent="0.3">
      <c r="B4" s="4" t="s">
        <v>4</v>
      </c>
      <c r="C4" s="5">
        <f>14+(VLOOKUP(B4,Perícias!$P$7:$Q$13,2,FALSE))</f>
        <v>16</v>
      </c>
      <c r="D4" s="6">
        <f t="shared" si="0"/>
        <v>3</v>
      </c>
      <c r="F4" s="4" t="s">
        <v>2</v>
      </c>
      <c r="G4" s="5">
        <f>H4-N26-SUM(O4:O22)</f>
        <v>7</v>
      </c>
      <c r="H4" s="6">
        <f>3*G2</f>
        <v>30</v>
      </c>
      <c r="J4" s="17" t="s">
        <v>112</v>
      </c>
      <c r="K4" s="18">
        <v>0</v>
      </c>
      <c r="M4" s="4">
        <v>1</v>
      </c>
      <c r="N4" s="5">
        <v>-9</v>
      </c>
      <c r="O4" s="5"/>
      <c r="P4" s="6" t="s">
        <v>143</v>
      </c>
    </row>
    <row r="5" spans="2:16" ht="16.5" thickTop="1" thickBot="1" x14ac:dyDescent="0.3">
      <c r="B5" s="25" t="s">
        <v>12</v>
      </c>
      <c r="C5" s="20">
        <f>12+(VLOOKUP(B5,Perícias!$P$7:$Q$13,2,FALSE))</f>
        <v>14</v>
      </c>
      <c r="D5" s="26">
        <f t="shared" si="0"/>
        <v>2</v>
      </c>
      <c r="F5" s="25" t="s">
        <v>10</v>
      </c>
      <c r="G5" s="77">
        <f>10+D4+D5+C16+VLOOKUP(G2,'uns dados aí'!$B$10:$C$14,2,TRUE)</f>
        <v>18</v>
      </c>
      <c r="H5" s="78"/>
      <c r="J5" s="32" t="s">
        <v>115</v>
      </c>
      <c r="K5" s="33">
        <f>K4*2+K3</f>
        <v>19</v>
      </c>
      <c r="M5" s="25">
        <v>2</v>
      </c>
      <c r="N5" s="20">
        <f>15+11</f>
        <v>26</v>
      </c>
      <c r="O5" s="20">
        <f>3+4</f>
        <v>7</v>
      </c>
      <c r="P5" s="26"/>
    </row>
    <row r="6" spans="2:16" ht="15.75" thickTop="1" x14ac:dyDescent="0.25">
      <c r="B6" s="4" t="s">
        <v>5</v>
      </c>
      <c r="C6" s="5">
        <f>13+(VLOOKUP(B6,Perícias!$P$7:$Q$13,2,FALSE))</f>
        <v>11</v>
      </c>
      <c r="D6" s="6">
        <f t="shared" si="0"/>
        <v>0</v>
      </c>
      <c r="F6" s="4" t="s">
        <v>138</v>
      </c>
      <c r="G6" s="79">
        <f>G5+Perícias!K12</f>
        <v>29</v>
      </c>
      <c r="H6" s="80"/>
      <c r="J6" s="15"/>
      <c r="K6" s="15"/>
      <c r="M6" s="4">
        <v>3</v>
      </c>
      <c r="N6" s="5"/>
      <c r="O6" s="5">
        <f>7+2+2</f>
        <v>11</v>
      </c>
      <c r="P6" s="6"/>
    </row>
    <row r="7" spans="2:16" x14ac:dyDescent="0.25">
      <c r="B7" s="25" t="s">
        <v>6</v>
      </c>
      <c r="C7" s="20">
        <f>10+(VLOOKUP(B7,Perícias!$P$7:$Q$13,2,FALSE))</f>
        <v>8</v>
      </c>
      <c r="D7" s="26">
        <f t="shared" si="0"/>
        <v>-1</v>
      </c>
      <c r="F7" s="25" t="s">
        <v>139</v>
      </c>
      <c r="G7" s="77">
        <f>Perícias!K25+Perícias!K21+D3</f>
        <v>23</v>
      </c>
      <c r="H7" s="78"/>
      <c r="J7" s="16"/>
      <c r="K7" s="16"/>
      <c r="M7" s="25">
        <v>4</v>
      </c>
      <c r="N7" s="20">
        <v>32</v>
      </c>
      <c r="O7" s="20"/>
      <c r="P7" s="26"/>
    </row>
    <row r="8" spans="2:16" ht="15.75" thickBot="1" x14ac:dyDescent="0.3">
      <c r="B8" s="12" t="s">
        <v>7</v>
      </c>
      <c r="C8" s="13">
        <f>16+(VLOOKUP(B8,Perícias!$P$7:$Q$13,2,FALSE))</f>
        <v>12</v>
      </c>
      <c r="D8" s="14">
        <f t="shared" si="0"/>
        <v>1</v>
      </c>
      <c r="F8" s="4" t="s">
        <v>11</v>
      </c>
      <c r="G8" s="62">
        <v>0.5</v>
      </c>
      <c r="H8" s="63"/>
      <c r="M8" s="4">
        <v>5</v>
      </c>
      <c r="N8" s="5"/>
      <c r="O8" s="5"/>
      <c r="P8" s="6"/>
    </row>
    <row r="9" spans="2:16" ht="15.75" thickTop="1" x14ac:dyDescent="0.25">
      <c r="F9" s="25" t="s">
        <v>113</v>
      </c>
      <c r="G9" s="58"/>
      <c r="H9" s="82"/>
      <c r="M9" s="25">
        <v>6</v>
      </c>
      <c r="N9" s="20"/>
      <c r="O9" s="20"/>
      <c r="P9" s="26"/>
    </row>
    <row r="10" spans="2:16" ht="15.75" thickBot="1" x14ac:dyDescent="0.3">
      <c r="F10" s="12" t="s">
        <v>114</v>
      </c>
      <c r="G10" s="83">
        <v>54400</v>
      </c>
      <c r="H10" s="84"/>
      <c r="M10" s="4">
        <v>7</v>
      </c>
      <c r="N10" s="5"/>
      <c r="O10" s="5"/>
      <c r="P10" s="6"/>
    </row>
    <row r="11" spans="2:16" ht="16.5" thickTop="1" thickBot="1" x14ac:dyDescent="0.3">
      <c r="M11" s="25">
        <v>8</v>
      </c>
      <c r="N11" s="20"/>
      <c r="O11" s="20"/>
      <c r="P11" s="26"/>
    </row>
    <row r="12" spans="2:16" ht="16.5" thickTop="1" thickBot="1" x14ac:dyDescent="0.3">
      <c r="B12" s="70" t="s">
        <v>13</v>
      </c>
      <c r="C12" s="71"/>
      <c r="D12" s="71"/>
      <c r="E12" s="71"/>
      <c r="F12" s="71"/>
      <c r="G12" s="71"/>
      <c r="H12" s="71"/>
      <c r="I12" s="72"/>
      <c r="M12" s="4">
        <v>9</v>
      </c>
      <c r="N12" s="5"/>
      <c r="O12" s="5"/>
      <c r="P12" s="6"/>
    </row>
    <row r="13" spans="2:16" ht="16.5" thickTop="1" thickBot="1" x14ac:dyDescent="0.3">
      <c r="B13" s="1"/>
      <c r="M13" s="25">
        <v>10</v>
      </c>
      <c r="N13" s="20"/>
      <c r="O13" s="20"/>
      <c r="P13" s="26"/>
    </row>
    <row r="14" spans="2:16" ht="15.75" thickTop="1" x14ac:dyDescent="0.25">
      <c r="B14" s="64" t="s">
        <v>21</v>
      </c>
      <c r="C14" s="65"/>
      <c r="D14" s="81"/>
      <c r="F14" s="64" t="s">
        <v>22</v>
      </c>
      <c r="G14" s="65"/>
      <c r="H14" s="65"/>
      <c r="I14" s="81"/>
      <c r="M14" s="4">
        <v>11</v>
      </c>
      <c r="N14" s="5"/>
      <c r="O14" s="5"/>
      <c r="P14" s="6"/>
    </row>
    <row r="15" spans="2:16" ht="28.5" x14ac:dyDescent="0.25">
      <c r="B15" s="25" t="s">
        <v>16</v>
      </c>
      <c r="C15" s="20" t="s">
        <v>17</v>
      </c>
      <c r="D15" s="26" t="s">
        <v>18</v>
      </c>
      <c r="F15" s="25" t="s">
        <v>16</v>
      </c>
      <c r="G15" s="20" t="s">
        <v>23</v>
      </c>
      <c r="H15" s="20" t="s">
        <v>24</v>
      </c>
      <c r="I15" s="26" t="s">
        <v>26</v>
      </c>
      <c r="M15" s="25">
        <v>12</v>
      </c>
      <c r="N15" s="20"/>
      <c r="O15" s="20"/>
      <c r="P15" s="26"/>
    </row>
    <row r="16" spans="2:16" ht="30.75" thickBot="1" x14ac:dyDescent="0.3">
      <c r="B16" s="12" t="s">
        <v>14</v>
      </c>
      <c r="C16" s="13">
        <f>IFERROR(VLOOKUP($B$16,Equipamento!$B$3:$E$5,2,FALSE),"")</f>
        <v>2</v>
      </c>
      <c r="D16" s="14">
        <f>IFERROR(VLOOKUP($B$16,Equipamento!$B$3:$E$5,3,FALSE),"")</f>
        <v>0</v>
      </c>
      <c r="F16" s="12" t="s">
        <v>27</v>
      </c>
      <c r="G16" s="13" t="str">
        <f>IFERROR(VLOOKUP($F$16,Equipamento!$B$8:$E$13,2,FALSE),VLOOKUP("Ataque Desarmado",Equipamento!$B$8:$E$13,2,FALSE))</f>
        <v>1d10</v>
      </c>
      <c r="H16" s="13" t="str">
        <f>IFERROR(VLOOKUP($F$16,Equipamento!$B$8:$E$13,3,FALSE),VLOOKUP("Ataque Desarmado",Equipamento!$B$8:$E$13,3,FALSE))</f>
        <v>Poder</v>
      </c>
      <c r="I16" s="14" t="str">
        <f>IFERROR(VLOOKUP($F$16,Equipamento!$B$8:$E$13,4,FALSE),VLOOKUP("Ataque Desarmado",Equipamento!$B$8:$E$13,4,FALSE))</f>
        <v>x3</v>
      </c>
      <c r="M16" s="4">
        <v>13</v>
      </c>
      <c r="N16" s="5"/>
      <c r="O16" s="5"/>
      <c r="P16" s="6"/>
    </row>
    <row r="17" spans="2:16" ht="16.5" thickTop="1" thickBot="1" x14ac:dyDescent="0.3">
      <c r="M17" s="25">
        <v>14</v>
      </c>
      <c r="N17" s="20"/>
      <c r="O17" s="20"/>
      <c r="P17" s="26"/>
    </row>
    <row r="18" spans="2:16" ht="15.75" customHeight="1" thickTop="1" thickBot="1" x14ac:dyDescent="0.3">
      <c r="B18" s="70" t="s">
        <v>35</v>
      </c>
      <c r="C18" s="71"/>
      <c r="D18" s="71"/>
      <c r="E18" s="71"/>
      <c r="F18" s="71"/>
      <c r="G18" s="71"/>
      <c r="H18" s="71"/>
      <c r="I18" s="72"/>
      <c r="M18" s="4">
        <v>15</v>
      </c>
      <c r="N18" s="5"/>
      <c r="O18" s="5"/>
      <c r="P18" s="6"/>
    </row>
    <row r="19" spans="2:16" ht="16.5" thickTop="1" thickBot="1" x14ac:dyDescent="0.3">
      <c r="M19" s="25">
        <v>16</v>
      </c>
      <c r="N19" s="20"/>
      <c r="O19" s="20"/>
      <c r="P19" s="26"/>
    </row>
    <row r="20" spans="2:16" ht="15.75" thickTop="1" x14ac:dyDescent="0.25">
      <c r="C20" s="64" t="s">
        <v>36</v>
      </c>
      <c r="D20" s="65"/>
      <c r="E20" s="65" t="s">
        <v>105</v>
      </c>
      <c r="F20" s="65"/>
      <c r="G20" s="3" t="s">
        <v>104</v>
      </c>
      <c r="M20" s="4">
        <v>17</v>
      </c>
      <c r="N20" s="5"/>
      <c r="O20" s="5"/>
      <c r="P20" s="6"/>
    </row>
    <row r="21" spans="2:16" x14ac:dyDescent="0.25">
      <c r="C21" s="59" t="s">
        <v>37</v>
      </c>
      <c r="D21" s="58"/>
      <c r="E21" s="58" t="s">
        <v>100</v>
      </c>
      <c r="F21" s="58"/>
      <c r="G21" s="26" t="s">
        <v>104</v>
      </c>
      <c r="M21" s="25">
        <v>18</v>
      </c>
      <c r="N21" s="20"/>
      <c r="O21" s="20"/>
      <c r="P21" s="26"/>
    </row>
    <row r="22" spans="2:16" ht="15.75" customHeight="1" thickBot="1" x14ac:dyDescent="0.3">
      <c r="C22" s="60" t="s">
        <v>38</v>
      </c>
      <c r="D22" s="56"/>
      <c r="E22" s="56" t="s">
        <v>106</v>
      </c>
      <c r="F22" s="56"/>
      <c r="G22" s="6" t="s">
        <v>104</v>
      </c>
      <c r="M22" s="12">
        <v>20</v>
      </c>
      <c r="N22" s="13"/>
      <c r="O22" s="13"/>
      <c r="P22" s="14"/>
    </row>
    <row r="23" spans="2:16" ht="16.5" thickTop="1" thickBot="1" x14ac:dyDescent="0.3">
      <c r="C23" s="59" t="s">
        <v>39</v>
      </c>
      <c r="D23" s="58"/>
      <c r="E23" s="58" t="s">
        <v>107</v>
      </c>
      <c r="F23" s="58"/>
      <c r="G23" s="26" t="s">
        <v>104</v>
      </c>
    </row>
    <row r="24" spans="2:16" ht="15.75" thickTop="1" x14ac:dyDescent="0.25">
      <c r="C24" s="60" t="s">
        <v>40</v>
      </c>
      <c r="D24" s="56"/>
      <c r="E24" s="56" t="s">
        <v>101</v>
      </c>
      <c r="F24" s="56"/>
      <c r="G24" s="6" t="s">
        <v>104</v>
      </c>
      <c r="M24" s="64" t="s">
        <v>123</v>
      </c>
      <c r="N24" s="81"/>
    </row>
    <row r="25" spans="2:16" x14ac:dyDescent="0.25">
      <c r="C25" s="59" t="s">
        <v>41</v>
      </c>
      <c r="D25" s="58"/>
      <c r="E25" s="58" t="s">
        <v>111</v>
      </c>
      <c r="F25" s="58"/>
      <c r="G25" s="26" t="s">
        <v>103</v>
      </c>
      <c r="M25" s="25" t="s">
        <v>1</v>
      </c>
      <c r="N25" s="26">
        <v>9</v>
      </c>
    </row>
    <row r="26" spans="2:16" ht="15.75" thickBot="1" x14ac:dyDescent="0.3">
      <c r="C26" s="60" t="s">
        <v>42</v>
      </c>
      <c r="D26" s="56"/>
      <c r="E26" s="56" t="s">
        <v>102</v>
      </c>
      <c r="F26" s="56"/>
      <c r="G26" s="6" t="s">
        <v>103</v>
      </c>
      <c r="M26" s="12" t="s">
        <v>2</v>
      </c>
      <c r="N26" s="14">
        <v>5</v>
      </c>
    </row>
    <row r="27" spans="2:16" ht="15.75" thickTop="1" x14ac:dyDescent="0.25">
      <c r="C27" s="59" t="s">
        <v>43</v>
      </c>
      <c r="D27" s="58"/>
      <c r="E27" s="58" t="s">
        <v>108</v>
      </c>
      <c r="F27" s="58"/>
      <c r="G27" s="26" t="s">
        <v>104</v>
      </c>
    </row>
    <row r="28" spans="2:16" x14ac:dyDescent="0.25">
      <c r="C28" s="60" t="s">
        <v>44</v>
      </c>
      <c r="D28" s="56"/>
      <c r="E28" s="56" t="s">
        <v>109</v>
      </c>
      <c r="F28" s="56"/>
      <c r="G28" s="6" t="s">
        <v>104</v>
      </c>
    </row>
    <row r="29" spans="2:16" x14ac:dyDescent="0.25">
      <c r="C29" s="59" t="s">
        <v>45</v>
      </c>
      <c r="D29" s="58"/>
      <c r="E29" s="58" t="s">
        <v>110</v>
      </c>
      <c r="F29" s="58"/>
      <c r="G29" s="26" t="s">
        <v>104</v>
      </c>
    </row>
    <row r="30" spans="2:16" x14ac:dyDescent="0.25">
      <c r="C30" s="60" t="s">
        <v>91</v>
      </c>
      <c r="D30" s="56"/>
      <c r="E30" s="56"/>
      <c r="F30" s="56"/>
      <c r="G30" s="6"/>
    </row>
    <row r="31" spans="2:16" x14ac:dyDescent="0.25">
      <c r="C31" s="59" t="s">
        <v>92</v>
      </c>
      <c r="D31" s="58"/>
      <c r="E31" s="58"/>
      <c r="F31" s="58"/>
      <c r="G31" s="26"/>
    </row>
    <row r="32" spans="2:16" x14ac:dyDescent="0.25">
      <c r="C32" s="60" t="s">
        <v>93</v>
      </c>
      <c r="D32" s="56"/>
      <c r="E32" s="56"/>
      <c r="F32" s="56"/>
      <c r="G32" s="6"/>
    </row>
    <row r="33" spans="2:9" x14ac:dyDescent="0.25">
      <c r="C33" s="59" t="s">
        <v>94</v>
      </c>
      <c r="D33" s="58"/>
      <c r="E33" s="58"/>
      <c r="F33" s="58"/>
      <c r="G33" s="26"/>
    </row>
    <row r="34" spans="2:9" x14ac:dyDescent="0.25">
      <c r="C34" s="60" t="s">
        <v>88</v>
      </c>
      <c r="D34" s="56"/>
      <c r="E34" s="56"/>
      <c r="F34" s="56"/>
      <c r="G34" s="6"/>
    </row>
    <row r="35" spans="2:9" x14ac:dyDescent="0.25">
      <c r="C35" s="59" t="s">
        <v>95</v>
      </c>
      <c r="D35" s="58"/>
      <c r="E35" s="58"/>
      <c r="F35" s="58"/>
      <c r="G35" s="26"/>
    </row>
    <row r="36" spans="2:9" x14ac:dyDescent="0.25">
      <c r="C36" s="60" t="s">
        <v>96</v>
      </c>
      <c r="D36" s="56"/>
      <c r="E36" s="56"/>
      <c r="F36" s="56"/>
      <c r="G36" s="6"/>
    </row>
    <row r="37" spans="2:9" x14ac:dyDescent="0.25">
      <c r="C37" s="59" t="s">
        <v>97</v>
      </c>
      <c r="D37" s="58"/>
      <c r="E37" s="58"/>
      <c r="F37" s="58"/>
      <c r="G37" s="26"/>
    </row>
    <row r="38" spans="2:9" x14ac:dyDescent="0.25">
      <c r="C38" s="60" t="s">
        <v>98</v>
      </c>
      <c r="D38" s="56"/>
      <c r="E38" s="56"/>
      <c r="F38" s="56"/>
      <c r="G38" s="6"/>
    </row>
    <row r="39" spans="2:9" ht="15.75" thickBot="1" x14ac:dyDescent="0.3">
      <c r="C39" s="61" t="s">
        <v>99</v>
      </c>
      <c r="D39" s="57"/>
      <c r="E39" s="57"/>
      <c r="F39" s="57"/>
      <c r="G39" s="28"/>
    </row>
    <row r="40" spans="2:9" ht="16.5" thickTop="1" thickBot="1" x14ac:dyDescent="0.3"/>
    <row r="41" spans="2:9" ht="15.75" customHeight="1" thickTop="1" thickBot="1" x14ac:dyDescent="0.3">
      <c r="B41" s="70" t="s">
        <v>116</v>
      </c>
      <c r="C41" s="71"/>
      <c r="D41" s="71"/>
      <c r="E41" s="71"/>
      <c r="F41" s="71"/>
      <c r="G41" s="71"/>
      <c r="H41" s="71"/>
      <c r="I41" s="72"/>
    </row>
    <row r="42" spans="2:9" ht="16.5" thickTop="1" thickBot="1" x14ac:dyDescent="0.3"/>
    <row r="43" spans="2:9" x14ac:dyDescent="0.25">
      <c r="C43" s="73" t="s">
        <v>117</v>
      </c>
      <c r="D43" s="74"/>
    </row>
    <row r="44" spans="2:9" x14ac:dyDescent="0.25">
      <c r="C44" s="66" t="s">
        <v>118</v>
      </c>
      <c r="D44" s="67"/>
    </row>
    <row r="45" spans="2:9" x14ac:dyDescent="0.25">
      <c r="C45" s="75" t="s">
        <v>136</v>
      </c>
      <c r="D45" s="76"/>
    </row>
    <row r="46" spans="2:9" x14ac:dyDescent="0.25">
      <c r="C46" s="66" t="s">
        <v>135</v>
      </c>
      <c r="D46" s="67"/>
    </row>
    <row r="47" spans="2:9" ht="15.75" thickBot="1" x14ac:dyDescent="0.3">
      <c r="C47" s="68" t="s">
        <v>137</v>
      </c>
      <c r="D47" s="69"/>
    </row>
  </sheetData>
  <mergeCells count="61">
    <mergeCell ref="G5:H5"/>
    <mergeCell ref="G6:H6"/>
    <mergeCell ref="G7:H7"/>
    <mergeCell ref="M24:N24"/>
    <mergeCell ref="M2:P2"/>
    <mergeCell ref="B18:I18"/>
    <mergeCell ref="B2:C2"/>
    <mergeCell ref="G2:H2"/>
    <mergeCell ref="B14:D14"/>
    <mergeCell ref="F14:I14"/>
    <mergeCell ref="B12:I12"/>
    <mergeCell ref="G9:H9"/>
    <mergeCell ref="G10:H10"/>
    <mergeCell ref="E23:F23"/>
    <mergeCell ref="J2:K2"/>
    <mergeCell ref="E20:F20"/>
    <mergeCell ref="C25:D25"/>
    <mergeCell ref="C46:D46"/>
    <mergeCell ref="C47:D47"/>
    <mergeCell ref="B41:I41"/>
    <mergeCell ref="C43:D43"/>
    <mergeCell ref="C44:D44"/>
    <mergeCell ref="C45:D45"/>
    <mergeCell ref="E32:F32"/>
    <mergeCell ref="C38:D38"/>
    <mergeCell ref="C39:D39"/>
    <mergeCell ref="G8:H8"/>
    <mergeCell ref="C24:D24"/>
    <mergeCell ref="C23:D23"/>
    <mergeCell ref="C22:D22"/>
    <mergeCell ref="C21:D21"/>
    <mergeCell ref="C20:D20"/>
    <mergeCell ref="E21:F21"/>
    <mergeCell ref="C31:D31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E22:F22"/>
    <mergeCell ref="E39:F39"/>
    <mergeCell ref="E33:F33"/>
    <mergeCell ref="E34:F34"/>
    <mergeCell ref="E35:F35"/>
    <mergeCell ref="E36:F36"/>
    <mergeCell ref="E37:F37"/>
    <mergeCell ref="E38:F38"/>
    <mergeCell ref="E25:F25"/>
    <mergeCell ref="E24:F24"/>
    <mergeCell ref="E26:F26"/>
    <mergeCell ref="E27:F27"/>
    <mergeCell ref="E29:F29"/>
    <mergeCell ref="E28:F28"/>
    <mergeCell ref="E30:F30"/>
    <mergeCell ref="E31:F31"/>
  </mergeCells>
  <phoneticPr fontId="1" type="noConversion"/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1CA3F-8320-49C1-B18B-A0E81E9CCB97}">
          <x14:formula1>
            <xm:f>Equipamento!$B$4:$B$5</xm:f>
          </x14:formula1>
          <xm:sqref>B16</xm:sqref>
        </x14:dataValidation>
        <x14:dataValidation type="list" allowBlank="1" showInputMessage="1" showErrorMessage="1" xr:uid="{A9F736F0-2711-43DE-8250-6B8CAB984B22}">
          <x14:formula1>
            <xm:f>Equipamento!$B$9:$B$13</xm:f>
          </x14:formula1>
          <xm:sqref>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4931-6B69-40CB-A1AC-62EB079295A3}">
  <dimension ref="B1:H32"/>
  <sheetViews>
    <sheetView zoomScaleNormal="100" workbookViewId="0">
      <selection activeCell="G3" sqref="G3"/>
    </sheetView>
  </sheetViews>
  <sheetFormatPr defaultRowHeight="15" x14ac:dyDescent="0.25"/>
  <cols>
    <col min="2" max="2" width="13.85546875" bestFit="1" customWidth="1"/>
    <col min="7" max="7" width="8.42578125" bestFit="1" customWidth="1"/>
  </cols>
  <sheetData>
    <row r="1" spans="2:8" ht="15.75" thickBot="1" x14ac:dyDescent="0.3"/>
    <row r="2" spans="2:8" ht="15.75" thickTop="1" x14ac:dyDescent="0.25">
      <c r="B2" s="2" t="s">
        <v>0</v>
      </c>
      <c r="C2" s="35" t="s">
        <v>132</v>
      </c>
      <c r="D2" s="35" t="s">
        <v>133</v>
      </c>
      <c r="E2" s="3" t="s">
        <v>33</v>
      </c>
      <c r="G2" s="85" t="s">
        <v>132</v>
      </c>
      <c r="H2" s="86"/>
    </row>
    <row r="3" spans="2:8" ht="15.75" thickBot="1" x14ac:dyDescent="0.3">
      <c r="B3" s="25" t="str">
        <f>Tabela1[[#This Row],[Perícia]]</f>
        <v>Acrobacia</v>
      </c>
      <c r="C3" s="20">
        <f>Tabela1[[#This Row],[Total]]</f>
        <v>12</v>
      </c>
      <c r="D3" s="20">
        <f ca="1">RANDBETWEEN(1,20)</f>
        <v>8</v>
      </c>
      <c r="E3" s="26">
        <f ca="1">SUM(C3:D3)</f>
        <v>20</v>
      </c>
      <c r="G3" s="27" t="s">
        <v>74</v>
      </c>
      <c r="H3" s="28">
        <f ca="1">VLOOKUP(G3,B2:E31,4,FALSE)</f>
        <v>32</v>
      </c>
    </row>
    <row r="4" spans="2:8" ht="16.5" thickTop="1" thickBot="1" x14ac:dyDescent="0.3">
      <c r="B4" s="4" t="str">
        <f>Tabela1[[#This Row],[Perícia]]</f>
        <v>Adestramento</v>
      </c>
      <c r="C4" s="5">
        <f>Tabela1[[#This Row],[Total]]</f>
        <v>1</v>
      </c>
      <c r="D4" s="5">
        <f t="shared" ref="D4:D31" ca="1" si="0">RANDBETWEEN(1,20)</f>
        <v>1</v>
      </c>
      <c r="E4" s="6">
        <f t="shared" ref="E4:E31" ca="1" si="1">SUM(C4:D4)</f>
        <v>2</v>
      </c>
    </row>
    <row r="5" spans="2:8" ht="16.5" thickTop="1" thickBot="1" x14ac:dyDescent="0.3">
      <c r="B5" s="25" t="str">
        <f>Tabela1[[#This Row],[Perícia]]</f>
        <v>Atletismo</v>
      </c>
      <c r="C5" s="20">
        <f>Tabela1[[#This Row],[Total]]</f>
        <v>16</v>
      </c>
      <c r="D5" s="20">
        <f t="shared" ca="1" si="0"/>
        <v>9</v>
      </c>
      <c r="E5" s="26">
        <f t="shared" ca="1" si="1"/>
        <v>25</v>
      </c>
      <c r="G5" s="36" t="s">
        <v>134</v>
      </c>
      <c r="H5" s="37">
        <v>1</v>
      </c>
    </row>
    <row r="6" spans="2:8" ht="15.75" thickTop="1" x14ac:dyDescent="0.25">
      <c r="B6" s="4" t="str">
        <f>Tabela1[[#This Row],[Perícia]]</f>
        <v>Atuação</v>
      </c>
      <c r="C6" s="5">
        <f>Tabela1[[#This Row],[Total]]</f>
        <v>1</v>
      </c>
      <c r="D6" s="5">
        <f t="shared" ca="1" si="0"/>
        <v>19</v>
      </c>
      <c r="E6" s="6">
        <f t="shared" ca="1" si="1"/>
        <v>20</v>
      </c>
    </row>
    <row r="7" spans="2:8" x14ac:dyDescent="0.25">
      <c r="B7" s="25" t="str">
        <f>Tabela1[[#This Row],[Perícia]]</f>
        <v>Cavalgar</v>
      </c>
      <c r="C7" s="20">
        <f>Tabela1[[#This Row],[Total]]</f>
        <v>8</v>
      </c>
      <c r="D7" s="20">
        <f t="shared" ca="1" si="0"/>
        <v>16</v>
      </c>
      <c r="E7" s="26">
        <f t="shared" ca="1" si="1"/>
        <v>24</v>
      </c>
    </row>
    <row r="8" spans="2:8" x14ac:dyDescent="0.25">
      <c r="B8" s="4" t="str">
        <f>Tabela1[[#This Row],[Perícia]]</f>
        <v>Conhecimento</v>
      </c>
      <c r="C8" s="5">
        <f>Tabela1[[#This Row],[Total]]</f>
        <v>0</v>
      </c>
      <c r="D8" s="5">
        <f t="shared" ca="1" si="0"/>
        <v>3</v>
      </c>
      <c r="E8" s="6">
        <f t="shared" ca="1" si="1"/>
        <v>3</v>
      </c>
    </row>
    <row r="9" spans="2:8" x14ac:dyDescent="0.25">
      <c r="B9" s="25" t="str">
        <f>Tabela1[[#This Row],[Perícia]]</f>
        <v>Cura</v>
      </c>
      <c r="C9" s="20">
        <f>Tabela1[[#This Row],[Total]]</f>
        <v>-1</v>
      </c>
      <c r="D9" s="20">
        <f t="shared" ca="1" si="0"/>
        <v>4</v>
      </c>
      <c r="E9" s="26">
        <f t="shared" ca="1" si="1"/>
        <v>3</v>
      </c>
    </row>
    <row r="10" spans="2:8" x14ac:dyDescent="0.25">
      <c r="B10" s="4" t="str">
        <f>Tabela1[[#This Row],[Perícia]]</f>
        <v>Diplomacia</v>
      </c>
      <c r="C10" s="5">
        <f>Tabela1[[#This Row],[Total]]</f>
        <v>1</v>
      </c>
      <c r="D10" s="5">
        <f t="shared" ca="1" si="0"/>
        <v>11</v>
      </c>
      <c r="E10" s="6">
        <f t="shared" ca="1" si="1"/>
        <v>12</v>
      </c>
    </row>
    <row r="11" spans="2:8" x14ac:dyDescent="0.25">
      <c r="B11" s="25" t="str">
        <f>Tabela1[[#This Row],[Perícia]]</f>
        <v>Enganação</v>
      </c>
      <c r="C11" s="20">
        <f>Tabela1[[#This Row],[Total]]</f>
        <v>1</v>
      </c>
      <c r="D11" s="20">
        <f t="shared" ca="1" si="0"/>
        <v>2</v>
      </c>
      <c r="E11" s="26">
        <f t="shared" ca="1" si="1"/>
        <v>3</v>
      </c>
    </row>
    <row r="12" spans="2:8" x14ac:dyDescent="0.25">
      <c r="B12" s="4" t="str">
        <f>Tabela1[[#This Row],[Perícia]]</f>
        <v>Fortitude</v>
      </c>
      <c r="C12" s="5">
        <f>Tabela1[[#This Row],[Total]]</f>
        <v>11</v>
      </c>
      <c r="D12" s="5">
        <f t="shared" ca="1" si="0"/>
        <v>17</v>
      </c>
      <c r="E12" s="6">
        <f t="shared" ca="1" si="1"/>
        <v>28</v>
      </c>
    </row>
    <row r="13" spans="2:8" x14ac:dyDescent="0.25">
      <c r="B13" s="25" t="str">
        <f>Tabela1[[#This Row],[Perícia]]</f>
        <v>Furtividade</v>
      </c>
      <c r="C13" s="20">
        <f>Tabela1[[#This Row],[Total]]</f>
        <v>8</v>
      </c>
      <c r="D13" s="20">
        <f t="shared" ca="1" si="0"/>
        <v>2</v>
      </c>
      <c r="E13" s="26">
        <f t="shared" ca="1" si="1"/>
        <v>10</v>
      </c>
    </row>
    <row r="14" spans="2:8" x14ac:dyDescent="0.25">
      <c r="B14" s="4" t="str">
        <f>Tabela1[[#This Row],[Perícia]]</f>
        <v>Guerra</v>
      </c>
      <c r="C14" s="5">
        <f>Tabela1[[#This Row],[Total]]</f>
        <v>0</v>
      </c>
      <c r="D14" s="5">
        <f t="shared" ca="1" si="0"/>
        <v>14</v>
      </c>
      <c r="E14" s="6">
        <f t="shared" ca="1" si="1"/>
        <v>14</v>
      </c>
    </row>
    <row r="15" spans="2:8" x14ac:dyDescent="0.25">
      <c r="B15" s="25" t="str">
        <f>Tabela1[[#This Row],[Perícia]]</f>
        <v>Iniciativa</v>
      </c>
      <c r="C15" s="20">
        <f>Tabela1[[#This Row],[Total]]</f>
        <v>12</v>
      </c>
      <c r="D15" s="20">
        <f t="shared" ca="1" si="0"/>
        <v>19</v>
      </c>
      <c r="E15" s="26">
        <f t="shared" ca="1" si="1"/>
        <v>31</v>
      </c>
    </row>
    <row r="16" spans="2:8" x14ac:dyDescent="0.25">
      <c r="B16" s="4" t="str">
        <f>Tabela1[[#This Row],[Perícia]]</f>
        <v>Intimidação</v>
      </c>
      <c r="C16" s="5">
        <f>Tabela1[[#This Row],[Total]]</f>
        <v>10</v>
      </c>
      <c r="D16" s="5">
        <f t="shared" ca="1" si="0"/>
        <v>16</v>
      </c>
      <c r="E16" s="6">
        <f t="shared" ca="1" si="1"/>
        <v>26</v>
      </c>
    </row>
    <row r="17" spans="2:5" x14ac:dyDescent="0.25">
      <c r="B17" s="25" t="str">
        <f>Tabela1[[#This Row],[Perícia]]</f>
        <v>Intuição</v>
      </c>
      <c r="C17" s="20">
        <f>Tabela1[[#This Row],[Total]]</f>
        <v>-1</v>
      </c>
      <c r="D17" s="20">
        <f t="shared" ca="1" si="0"/>
        <v>2</v>
      </c>
      <c r="E17" s="26">
        <f t="shared" ca="1" si="1"/>
        <v>1</v>
      </c>
    </row>
    <row r="18" spans="2:5" x14ac:dyDescent="0.25">
      <c r="B18" s="4" t="str">
        <f>Tabela1[[#This Row],[Perícia]]</f>
        <v>Investigação</v>
      </c>
      <c r="C18" s="5">
        <f>Tabela1[[#This Row],[Total]]</f>
        <v>0</v>
      </c>
      <c r="D18" s="5">
        <f t="shared" ca="1" si="0"/>
        <v>20</v>
      </c>
      <c r="E18" s="6">
        <f t="shared" ca="1" si="1"/>
        <v>20</v>
      </c>
    </row>
    <row r="19" spans="2:5" x14ac:dyDescent="0.25">
      <c r="B19" s="25" t="str">
        <f>Tabela1[[#This Row],[Perícia]]</f>
        <v>Jogatina</v>
      </c>
      <c r="C19" s="20">
        <f>Tabela1[[#This Row],[Total]]</f>
        <v>1</v>
      </c>
      <c r="D19" s="20">
        <f t="shared" ca="1" si="0"/>
        <v>3</v>
      </c>
      <c r="E19" s="26">
        <f t="shared" ca="1" si="1"/>
        <v>4</v>
      </c>
    </row>
    <row r="20" spans="2:5" x14ac:dyDescent="0.25">
      <c r="B20" s="4" t="str">
        <f>Tabela1[[#This Row],[Perícia]]</f>
        <v>Ladinagem</v>
      </c>
      <c r="C20" s="5">
        <f>Tabela1[[#This Row],[Total]]</f>
        <v>8</v>
      </c>
      <c r="D20" s="5">
        <f t="shared" ca="1" si="0"/>
        <v>20</v>
      </c>
      <c r="E20" s="6">
        <f t="shared" ca="1" si="1"/>
        <v>28</v>
      </c>
    </row>
    <row r="21" spans="2:5" x14ac:dyDescent="0.25">
      <c r="B21" s="25" t="str">
        <f>Tabela1[[#This Row],[Perícia]]</f>
        <v>Luta</v>
      </c>
      <c r="C21" s="20">
        <f>Tabela1[[#This Row],[Total]]+Linux!K4*2</f>
        <v>19</v>
      </c>
      <c r="D21" s="20">
        <f t="shared" ca="1" si="0"/>
        <v>13</v>
      </c>
      <c r="E21" s="26">
        <f t="shared" ca="1" si="1"/>
        <v>32</v>
      </c>
    </row>
    <row r="22" spans="2:5" x14ac:dyDescent="0.25">
      <c r="B22" s="4" t="str">
        <f>Tabela1[[#This Row],[Perícia]]</f>
        <v>Misticismo</v>
      </c>
      <c r="C22" s="5">
        <f>Tabela1[[#This Row],[Total]]</f>
        <v>0</v>
      </c>
      <c r="D22" s="5">
        <f t="shared" ca="1" si="0"/>
        <v>13</v>
      </c>
      <c r="E22" s="6">
        <f t="shared" ca="1" si="1"/>
        <v>13</v>
      </c>
    </row>
    <row r="23" spans="2:5" x14ac:dyDescent="0.25">
      <c r="B23" s="25" t="str">
        <f>Tabela1[[#This Row],[Perícia]]</f>
        <v>Nobreza</v>
      </c>
      <c r="C23" s="20">
        <f>Tabela1[[#This Row],[Total]]</f>
        <v>0</v>
      </c>
      <c r="D23" s="20">
        <f t="shared" ca="1" si="0"/>
        <v>1</v>
      </c>
      <c r="E23" s="26">
        <f t="shared" ca="1" si="1"/>
        <v>1</v>
      </c>
    </row>
    <row r="24" spans="2:5" x14ac:dyDescent="0.25">
      <c r="B24" s="4" t="str">
        <f>Tabela1[[#This Row],[Perícia]]</f>
        <v>Ofício</v>
      </c>
      <c r="C24" s="5">
        <f>Tabela1[[#This Row],[Total]]</f>
        <v>0</v>
      </c>
      <c r="D24" s="5">
        <f t="shared" ca="1" si="0"/>
        <v>20</v>
      </c>
      <c r="E24" s="6">
        <f t="shared" ca="1" si="1"/>
        <v>20</v>
      </c>
    </row>
    <row r="25" spans="2:5" x14ac:dyDescent="0.25">
      <c r="B25" s="25" t="str">
        <f>Tabela1[[#This Row],[Perícia]]</f>
        <v>Percepção</v>
      </c>
      <c r="C25" s="20">
        <f>Tabela1[[#This Row],[Total]]</f>
        <v>-1</v>
      </c>
      <c r="D25" s="20">
        <f t="shared" ca="1" si="0"/>
        <v>2</v>
      </c>
      <c r="E25" s="26">
        <f t="shared" ca="1" si="1"/>
        <v>1</v>
      </c>
    </row>
    <row r="26" spans="2:5" x14ac:dyDescent="0.25">
      <c r="B26" s="4" t="str">
        <f>Tabela1[[#This Row],[Perícia]]</f>
        <v>Pilotagem</v>
      </c>
      <c r="C26" s="5">
        <f>Tabela1[[#This Row],[Total]]</f>
        <v>8</v>
      </c>
      <c r="D26" s="5">
        <f t="shared" ca="1" si="0"/>
        <v>5</v>
      </c>
      <c r="E26" s="6">
        <f t="shared" ca="1" si="1"/>
        <v>13</v>
      </c>
    </row>
    <row r="27" spans="2:5" x14ac:dyDescent="0.25">
      <c r="B27" s="25" t="str">
        <f>Tabela1[[#This Row],[Perícia]]</f>
        <v>Pontaria</v>
      </c>
      <c r="C27" s="20">
        <f>Tabela1[[#This Row],[Total]]</f>
        <v>8</v>
      </c>
      <c r="D27" s="20">
        <f t="shared" ca="1" si="0"/>
        <v>10</v>
      </c>
      <c r="E27" s="26">
        <f t="shared" ca="1" si="1"/>
        <v>18</v>
      </c>
    </row>
    <row r="28" spans="2:5" x14ac:dyDescent="0.25">
      <c r="B28" s="4" t="str">
        <f>Tabela1[[#This Row],[Perícia]]</f>
        <v>Reflexos</v>
      </c>
      <c r="C28" s="5">
        <f>Tabela1[[#This Row],[Total]]</f>
        <v>12</v>
      </c>
      <c r="D28" s="5">
        <f t="shared" ca="1" si="0"/>
        <v>14</v>
      </c>
      <c r="E28" s="6">
        <f t="shared" ca="1" si="1"/>
        <v>26</v>
      </c>
    </row>
    <row r="29" spans="2:5" x14ac:dyDescent="0.25">
      <c r="B29" s="25" t="str">
        <f>Tabela1[[#This Row],[Perícia]]</f>
        <v>Religião</v>
      </c>
      <c r="C29" s="20">
        <f>Tabela1[[#This Row],[Total]]</f>
        <v>-1</v>
      </c>
      <c r="D29" s="20">
        <f t="shared" ca="1" si="0"/>
        <v>12</v>
      </c>
      <c r="E29" s="26">
        <f t="shared" ca="1" si="1"/>
        <v>11</v>
      </c>
    </row>
    <row r="30" spans="2:5" x14ac:dyDescent="0.25">
      <c r="B30" s="4" t="str">
        <f>Tabela1[[#This Row],[Perícia]]</f>
        <v>Sobrevivência</v>
      </c>
      <c r="C30" s="5">
        <f>Tabela1[[#This Row],[Total]]</f>
        <v>-1</v>
      </c>
      <c r="D30" s="5">
        <f t="shared" ca="1" si="0"/>
        <v>20</v>
      </c>
      <c r="E30" s="6">
        <f t="shared" ca="1" si="1"/>
        <v>19</v>
      </c>
    </row>
    <row r="31" spans="2:5" ht="15.75" thickBot="1" x14ac:dyDescent="0.3">
      <c r="B31" s="27" t="str">
        <f>Tabela1[[#This Row],[Perícia]]</f>
        <v>Vontade</v>
      </c>
      <c r="C31" s="29">
        <f>Tabela1[[#This Row],[Total]]</f>
        <v>-1</v>
      </c>
      <c r="D31" s="29">
        <f t="shared" ca="1" si="0"/>
        <v>3</v>
      </c>
      <c r="E31" s="28">
        <f t="shared" ca="1" si="1"/>
        <v>2</v>
      </c>
    </row>
    <row r="32" spans="2:5" ht="15.75" thickTop="1" x14ac:dyDescent="0.25"/>
  </sheetData>
  <mergeCells count="1">
    <mergeCell ref="G2:H2"/>
  </mergeCells>
  <dataValidations count="1">
    <dataValidation type="list" allowBlank="1" showInputMessage="1" showErrorMessage="1" sqref="G3" xr:uid="{B0557C4D-6A76-4A09-A415-E9C68FD3C81C}">
      <formula1>$B$2:$B$31</formula1>
    </dataValidation>
  </dataValidations>
  <pageMargins left="0.511811024" right="0.511811024" top="0.78740157499999996" bottom="0.78740157499999996" header="0.31496062000000002" footer="0.31496062000000002"/>
  <ignoredErrors>
    <ignoredError sqref="C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56B9-F1B4-4F98-9F1B-912E31ABCBA1}">
  <dimension ref="B1:E14"/>
  <sheetViews>
    <sheetView workbookViewId="0">
      <selection activeCell="E9" sqref="E9"/>
    </sheetView>
  </sheetViews>
  <sheetFormatPr defaultRowHeight="15" x14ac:dyDescent="0.25"/>
  <cols>
    <col min="2" max="2" width="18.42578125" bestFit="1" customWidth="1"/>
    <col min="4" max="4" width="11" bestFit="1" customWidth="1"/>
  </cols>
  <sheetData>
    <row r="1" spans="2:5" ht="15.75" thickBot="1" x14ac:dyDescent="0.3"/>
    <row r="2" spans="2:5" ht="15.75" thickTop="1" x14ac:dyDescent="0.25">
      <c r="B2" s="64" t="s">
        <v>15</v>
      </c>
      <c r="C2" s="65"/>
      <c r="D2" s="65"/>
      <c r="E2" s="81"/>
    </row>
    <row r="3" spans="2:5" x14ac:dyDescent="0.25">
      <c r="B3" s="25" t="s">
        <v>16</v>
      </c>
      <c r="C3" s="20" t="s">
        <v>17</v>
      </c>
      <c r="D3" s="20" t="s">
        <v>18</v>
      </c>
      <c r="E3" s="26" t="s">
        <v>19</v>
      </c>
    </row>
    <row r="4" spans="2:5" ht="30" x14ac:dyDescent="0.25">
      <c r="B4" s="4" t="s">
        <v>14</v>
      </c>
      <c r="C4" s="5">
        <v>2</v>
      </c>
      <c r="D4" s="5">
        <v>0</v>
      </c>
      <c r="E4" s="6" t="s">
        <v>20</v>
      </c>
    </row>
    <row r="5" spans="2:5" ht="15.75" thickBot="1" x14ac:dyDescent="0.3">
      <c r="B5" s="27"/>
      <c r="C5" s="29"/>
      <c r="D5" s="29"/>
      <c r="E5" s="28"/>
    </row>
    <row r="6" spans="2:5" ht="16.5" thickTop="1" thickBot="1" x14ac:dyDescent="0.3"/>
    <row r="7" spans="2:5" ht="15.75" thickTop="1" x14ac:dyDescent="0.25">
      <c r="B7" s="64" t="s">
        <v>25</v>
      </c>
      <c r="C7" s="65"/>
      <c r="D7" s="65"/>
      <c r="E7" s="81"/>
    </row>
    <row r="8" spans="2:5" x14ac:dyDescent="0.25">
      <c r="B8" s="25" t="s">
        <v>16</v>
      </c>
      <c r="C8" s="20" t="s">
        <v>23</v>
      </c>
      <c r="D8" s="20" t="s">
        <v>24</v>
      </c>
      <c r="E8" s="26" t="s">
        <v>26</v>
      </c>
    </row>
    <row r="9" spans="2:5" x14ac:dyDescent="0.25">
      <c r="B9" s="4" t="s">
        <v>27</v>
      </c>
      <c r="C9" s="5" t="str">
        <f>VLOOKUP(Linux!$G$2,'uns dados aí'!$B$2:$C$7,2,TRUE)</f>
        <v>1d10</v>
      </c>
      <c r="D9" s="5" t="s">
        <v>29</v>
      </c>
      <c r="E9" s="6" t="s">
        <v>30</v>
      </c>
    </row>
    <row r="10" spans="2:5" x14ac:dyDescent="0.25">
      <c r="B10" s="25"/>
      <c r="C10" s="20"/>
      <c r="D10" s="20"/>
      <c r="E10" s="26"/>
    </row>
    <row r="11" spans="2:5" x14ac:dyDescent="0.25">
      <c r="B11" s="4"/>
      <c r="C11" s="5"/>
      <c r="D11" s="5"/>
      <c r="E11" s="6"/>
    </row>
    <row r="12" spans="2:5" x14ac:dyDescent="0.25">
      <c r="B12" s="25"/>
      <c r="C12" s="20"/>
      <c r="D12" s="20"/>
      <c r="E12" s="26"/>
    </row>
    <row r="13" spans="2:5" ht="15.75" thickBot="1" x14ac:dyDescent="0.3">
      <c r="B13" s="12"/>
      <c r="C13" s="13"/>
      <c r="D13" s="13"/>
      <c r="E13" s="14"/>
    </row>
    <row r="14" spans="2:5" ht="15.75" thickTop="1" x14ac:dyDescent="0.25"/>
  </sheetData>
  <mergeCells count="2">
    <mergeCell ref="B2:E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1FD5-C80F-4EB7-A982-BC7D3CD79ADB}">
  <dimension ref="B1:Q31"/>
  <sheetViews>
    <sheetView topLeftCell="A2" zoomScale="88" workbookViewId="0">
      <selection activeCell="J16" sqref="J16"/>
    </sheetView>
  </sheetViews>
  <sheetFormatPr defaultRowHeight="15" x14ac:dyDescent="0.25"/>
  <cols>
    <col min="2" max="2" width="13.42578125" bestFit="1" customWidth="1"/>
    <col min="3" max="3" width="9.5703125" bestFit="1" customWidth="1"/>
    <col min="4" max="4" width="10.5703125" bestFit="1" customWidth="1"/>
    <col min="5" max="5" width="13.28515625" bestFit="1" customWidth="1"/>
    <col min="6" max="6" width="11.42578125" bestFit="1" customWidth="1"/>
    <col min="7" max="7" width="11.42578125" customWidth="1"/>
    <col min="8" max="8" width="11.140625" bestFit="1" customWidth="1"/>
    <col min="9" max="9" width="21.42578125" bestFit="1" customWidth="1"/>
    <col min="10" max="10" width="21.42578125" customWidth="1"/>
    <col min="11" max="11" width="10.140625" bestFit="1" customWidth="1"/>
    <col min="12" max="12" width="13.85546875" bestFit="1" customWidth="1"/>
    <col min="13" max="13" width="21.42578125" bestFit="1" customWidth="1"/>
    <col min="14" max="14" width="26.7109375" bestFit="1" customWidth="1"/>
    <col min="15" max="15" width="9.85546875" bestFit="1" customWidth="1"/>
    <col min="16" max="16" width="12.5703125" bestFit="1" customWidth="1"/>
  </cols>
  <sheetData>
    <row r="1" spans="2:17" ht="15.75" thickBot="1" x14ac:dyDescent="0.3"/>
    <row r="2" spans="2:17" ht="15" customHeight="1" thickTop="1" x14ac:dyDescent="0.25">
      <c r="B2" s="9" t="s">
        <v>31</v>
      </c>
      <c r="C2" s="10" t="s">
        <v>85</v>
      </c>
      <c r="D2" s="10" t="s">
        <v>8</v>
      </c>
      <c r="E2" s="10" t="s">
        <v>34</v>
      </c>
      <c r="F2" s="10" t="s">
        <v>86</v>
      </c>
      <c r="G2" s="10" t="s">
        <v>119</v>
      </c>
      <c r="H2" s="10" t="s">
        <v>17</v>
      </c>
      <c r="I2" s="10" t="s">
        <v>141</v>
      </c>
      <c r="J2" s="10" t="s">
        <v>142</v>
      </c>
      <c r="K2" s="10" t="s">
        <v>33</v>
      </c>
      <c r="L2" s="11" t="s">
        <v>32</v>
      </c>
      <c r="M2" s="11" t="s">
        <v>46</v>
      </c>
      <c r="N2" s="34" t="s">
        <v>47</v>
      </c>
      <c r="P2" s="64" t="s">
        <v>87</v>
      </c>
      <c r="Q2" s="81"/>
    </row>
    <row r="3" spans="2:17" x14ac:dyDescent="0.25">
      <c r="B3" s="19" t="s">
        <v>48</v>
      </c>
      <c r="C3" s="20" t="s">
        <v>49</v>
      </c>
      <c r="D3" s="20">
        <f>VLOOKUP(C3,Linux!$B$3:$D$8,3,FALSE)</f>
        <v>3</v>
      </c>
      <c r="E3" s="20">
        <f>VLOOKUP(Linux!$G$2,'uns dados aí'!$I$3:$J$22,2,FALSE)</f>
        <v>5</v>
      </c>
      <c r="F3" s="20">
        <f>IF(Tabela1[[#This Row],[Treinada?]]="sim",VLOOKUP(Linux!$G$2,'uns dados aí'!$E$2:$F$4,2,TRUE),"")</f>
        <v>4</v>
      </c>
      <c r="G3" s="20"/>
      <c r="H3" s="20"/>
      <c r="I3" s="20"/>
      <c r="J3" s="20"/>
      <c r="K3" s="20">
        <f>SUM(Tabela1[[#This Row],[MOD]:[Penalidades]])-IF(Tabela1[[#This Row],[Penalidade de Armadura?]]="sim",Linux!D16,0)</f>
        <v>12</v>
      </c>
      <c r="L3" s="20" t="s">
        <v>89</v>
      </c>
      <c r="M3" s="20" t="s">
        <v>50</v>
      </c>
      <c r="N3" s="21" t="s">
        <v>51</v>
      </c>
      <c r="P3" s="25" t="s">
        <v>36</v>
      </c>
      <c r="Q3" s="26">
        <v>2</v>
      </c>
    </row>
    <row r="4" spans="2:17" x14ac:dyDescent="0.25">
      <c r="B4" s="7" t="s">
        <v>52</v>
      </c>
      <c r="C4" s="5" t="s">
        <v>53</v>
      </c>
      <c r="D4" s="5">
        <f>VLOOKUP(C4,Linux!$B$3:$D$8,3,FALSE)</f>
        <v>1</v>
      </c>
      <c r="E4" s="5">
        <f>VLOOKUP(Linux!$G$2,'uns dados aí'!$I$3:$J$22,2,FALSE)</f>
        <v>5</v>
      </c>
      <c r="F4" s="5" t="str">
        <f>IF(Tabela1[[#This Row],[Treinada?]]="sim",VLOOKUP(Linux!$G$2,'uns dados aí'!$E$2:$F$4,2,TRUE),"")</f>
        <v/>
      </c>
      <c r="G4" s="5"/>
      <c r="H4" s="5"/>
      <c r="I4" s="5"/>
      <c r="J4" s="5">
        <v>-5</v>
      </c>
      <c r="K4" s="5">
        <f>SUM(Tabela1[[#This Row],[MOD]:[Penalidades]])-IF(Tabela1[[#This Row],[Penalidade de Armadura?]]="sim",Linux!D17,0)</f>
        <v>1</v>
      </c>
      <c r="L4" s="5" t="s">
        <v>90</v>
      </c>
      <c r="M4" s="5" t="s">
        <v>51</v>
      </c>
      <c r="N4" s="8" t="s">
        <v>50</v>
      </c>
      <c r="P4" s="4" t="s">
        <v>42</v>
      </c>
      <c r="Q4" s="6">
        <v>4</v>
      </c>
    </row>
    <row r="5" spans="2:17" ht="15.75" thickBot="1" x14ac:dyDescent="0.3">
      <c r="B5" s="19" t="s">
        <v>54</v>
      </c>
      <c r="C5" s="20" t="s">
        <v>55</v>
      </c>
      <c r="D5" s="20">
        <f>VLOOKUP(C5,Linux!$B$3:$D$8,3,FALSE)</f>
        <v>5</v>
      </c>
      <c r="E5" s="20">
        <f>VLOOKUP(Linux!$G$2,'uns dados aí'!$I$3:$J$22,2,FALSE)</f>
        <v>5</v>
      </c>
      <c r="F5" s="20">
        <f>IF(Tabela1[[#This Row],[Treinada?]]="sim",VLOOKUP(Linux!$G$2,'uns dados aí'!$E$2:$F$4,2,TRUE),"")</f>
        <v>4</v>
      </c>
      <c r="G5" s="20"/>
      <c r="H5" s="20">
        <v>2</v>
      </c>
      <c r="I5" s="20"/>
      <c r="J5" s="20"/>
      <c r="K5" s="20">
        <f>SUM(Tabela1[[#This Row],[MOD]:[Penalidades]])-IF(Tabela1[[#This Row],[Penalidade de Armadura?]]="sim",Linux!D18,0)</f>
        <v>16</v>
      </c>
      <c r="L5" s="20" t="s">
        <v>89</v>
      </c>
      <c r="M5" s="20" t="s">
        <v>50</v>
      </c>
      <c r="N5" s="21" t="s">
        <v>50</v>
      </c>
      <c r="P5" s="27" t="s">
        <v>88</v>
      </c>
      <c r="Q5" s="28">
        <v>6</v>
      </c>
    </row>
    <row r="6" spans="2:17" ht="16.5" thickTop="1" thickBot="1" x14ac:dyDescent="0.3">
      <c r="B6" s="7" t="s">
        <v>56</v>
      </c>
      <c r="C6" s="5" t="s">
        <v>53</v>
      </c>
      <c r="D6" s="5">
        <f>VLOOKUP(C6,Linux!$B$3:$D$8,3,FALSE)</f>
        <v>1</v>
      </c>
      <c r="E6" s="5">
        <f>VLOOKUP(Linux!$G$2,'uns dados aí'!$I$3:$J$22,2,FALSE)</f>
        <v>5</v>
      </c>
      <c r="F6" s="5" t="str">
        <f>IF(Tabela1[[#This Row],[Treinada?]]="sim",VLOOKUP(Linux!$G$2,'uns dados aí'!$E$2:$F$4,2,TRUE),"")</f>
        <v/>
      </c>
      <c r="G6" s="5"/>
      <c r="H6" s="5"/>
      <c r="I6" s="5"/>
      <c r="J6" s="5">
        <v>-5</v>
      </c>
      <c r="K6" s="5">
        <f>SUM(Tabela1[[#This Row],[MOD]:[Penalidades]])-IF(Tabela1[[#This Row],[Penalidade de Armadura?]]="sim",Linux!D19,0)</f>
        <v>1</v>
      </c>
      <c r="L6" s="5" t="s">
        <v>90</v>
      </c>
      <c r="M6" s="5" t="s">
        <v>50</v>
      </c>
      <c r="N6" s="8" t="s">
        <v>50</v>
      </c>
    </row>
    <row r="7" spans="2:17" ht="15.75" thickTop="1" x14ac:dyDescent="0.25">
      <c r="B7" s="19" t="s">
        <v>57</v>
      </c>
      <c r="C7" s="20" t="s">
        <v>49</v>
      </c>
      <c r="D7" s="20">
        <f>VLOOKUP(C7,Linux!$B$3:$D$8,3,FALSE)</f>
        <v>3</v>
      </c>
      <c r="E7" s="20">
        <f>VLOOKUP(Linux!$G$2,'uns dados aí'!$I$3:$J$22,2,FALSE)</f>
        <v>5</v>
      </c>
      <c r="F7" s="20" t="str">
        <f>IF(Tabela1[[#This Row],[Treinada?]]="sim",VLOOKUP(Linux!$G$2,'uns dados aí'!$E$2:$F$4,2,TRUE),"")</f>
        <v/>
      </c>
      <c r="G7" s="20"/>
      <c r="H7" s="20"/>
      <c r="I7" s="20"/>
      <c r="J7" s="20"/>
      <c r="K7" s="20">
        <f>SUM(Tabela1[[#This Row],[MOD]:[Penalidades]])-IF(Tabela1[[#This Row],[Penalidade de Armadura?]]="sim",Linux!D20,0)</f>
        <v>8</v>
      </c>
      <c r="L7" s="20" t="s">
        <v>90</v>
      </c>
      <c r="M7" s="20" t="s">
        <v>50</v>
      </c>
      <c r="N7" s="21" t="s">
        <v>50</v>
      </c>
      <c r="P7" s="64" t="s">
        <v>119</v>
      </c>
      <c r="Q7" s="81"/>
    </row>
    <row r="8" spans="2:17" ht="15" customHeight="1" x14ac:dyDescent="0.25">
      <c r="B8" s="7" t="s">
        <v>58</v>
      </c>
      <c r="C8" s="5" t="s">
        <v>59</v>
      </c>
      <c r="D8" s="5">
        <f>VLOOKUP(C8,Linux!$B$3:$D$8,3,FALSE)</f>
        <v>0</v>
      </c>
      <c r="E8" s="5">
        <f>VLOOKUP(Linux!$G$2,'uns dados aí'!$I$3:$J$22,2,FALSE)</f>
        <v>5</v>
      </c>
      <c r="F8" s="5" t="str">
        <f>IF(Tabela1[[#This Row],[Treinada?]]="sim",VLOOKUP(Linux!$G$2,'uns dados aí'!$E$2:$F$4,2,TRUE),"")</f>
        <v/>
      </c>
      <c r="G8" s="5"/>
      <c r="H8" s="5"/>
      <c r="I8" s="5"/>
      <c r="J8" s="5">
        <v>-5</v>
      </c>
      <c r="K8" s="5">
        <f>SUM(Tabela1[[#This Row],[MOD]:[Penalidades]])-IF(Tabela1[[#This Row],[Penalidade de Armadura?]]="sim",Linux!D21,0)</f>
        <v>0</v>
      </c>
      <c r="L8" s="5" t="s">
        <v>90</v>
      </c>
      <c r="M8" s="5" t="s">
        <v>51</v>
      </c>
      <c r="N8" s="8" t="s">
        <v>50</v>
      </c>
      <c r="P8" s="25" t="s">
        <v>3</v>
      </c>
      <c r="Q8" s="26">
        <v>2</v>
      </c>
    </row>
    <row r="9" spans="2:17" x14ac:dyDescent="0.25">
      <c r="B9" s="19" t="s">
        <v>60</v>
      </c>
      <c r="C9" s="20" t="s">
        <v>61</v>
      </c>
      <c r="D9" s="20">
        <f>VLOOKUP(C9,Linux!$B$3:$D$8,3,FALSE)</f>
        <v>-1</v>
      </c>
      <c r="E9" s="20">
        <f>VLOOKUP(Linux!$G$2,'uns dados aí'!$I$3:$J$22,2,FALSE)</f>
        <v>5</v>
      </c>
      <c r="F9" s="20" t="str">
        <f>IF(Tabela1[[#This Row],[Treinada?]]="sim",VLOOKUP(Linux!$G$2,'uns dados aí'!$E$2:$F$4,2,TRUE),"")</f>
        <v/>
      </c>
      <c r="G9" s="20"/>
      <c r="H9" s="20"/>
      <c r="I9" s="20"/>
      <c r="J9" s="20">
        <v>-5</v>
      </c>
      <c r="K9" s="20">
        <f>SUM(Tabela1[[#This Row],[MOD]:[Penalidades]])-IF(Tabela1[[#This Row],[Penalidade de Armadura?]]="sim",Linux!D22,0)</f>
        <v>-1</v>
      </c>
      <c r="L9" s="20" t="s">
        <v>90</v>
      </c>
      <c r="M9" s="20" t="s">
        <v>50</v>
      </c>
      <c r="N9" s="21" t="s">
        <v>50</v>
      </c>
      <c r="P9" s="4" t="s">
        <v>4</v>
      </c>
      <c r="Q9" s="6">
        <v>2</v>
      </c>
    </row>
    <row r="10" spans="2:17" x14ac:dyDescent="0.25">
      <c r="B10" s="7" t="s">
        <v>62</v>
      </c>
      <c r="C10" s="5" t="s">
        <v>53</v>
      </c>
      <c r="D10" s="5">
        <f>VLOOKUP(C10,Linux!$B$3:$D$8,3,FALSE)</f>
        <v>1</v>
      </c>
      <c r="E10" s="5">
        <f>VLOOKUP(Linux!$G$2,'uns dados aí'!$I$3:$J$22,2,FALSE)</f>
        <v>5</v>
      </c>
      <c r="F10" s="5" t="str">
        <f>IF(Tabela1[[#This Row],[Treinada?]]="sim",VLOOKUP(Linux!$G$2,'uns dados aí'!$E$2:$F$4,2,TRUE),"")</f>
        <v/>
      </c>
      <c r="G10" s="5"/>
      <c r="H10" s="5"/>
      <c r="I10" s="5"/>
      <c r="J10" s="5">
        <v>-5</v>
      </c>
      <c r="K10" s="5">
        <f>SUM(Tabela1[[#This Row],[MOD]:[Penalidades]])-IF(Tabela1[[#This Row],[Penalidade de Armadura?]]="sim",Linux!D23,0)</f>
        <v>1</v>
      </c>
      <c r="L10" s="5" t="s">
        <v>90</v>
      </c>
      <c r="M10" s="5" t="s">
        <v>50</v>
      </c>
      <c r="N10" s="8" t="s">
        <v>50</v>
      </c>
      <c r="P10" s="25" t="s">
        <v>12</v>
      </c>
      <c r="Q10" s="26">
        <v>2</v>
      </c>
    </row>
    <row r="11" spans="2:17" x14ac:dyDescent="0.25">
      <c r="B11" s="19" t="s">
        <v>63</v>
      </c>
      <c r="C11" s="20" t="s">
        <v>53</v>
      </c>
      <c r="D11" s="20">
        <f>VLOOKUP(C11,Linux!$B$3:$D$8,3,FALSE)</f>
        <v>1</v>
      </c>
      <c r="E11" s="20">
        <f>VLOOKUP(Linux!$G$2,'uns dados aí'!$I$3:$J$22,2,FALSE)</f>
        <v>5</v>
      </c>
      <c r="F11" s="20" t="str">
        <f>IF(Tabela1[[#This Row],[Treinada?]]="sim",VLOOKUP(Linux!$G$2,'uns dados aí'!$E$2:$F$4,2,TRUE),"")</f>
        <v/>
      </c>
      <c r="G11" s="20"/>
      <c r="H11" s="20"/>
      <c r="I11" s="20"/>
      <c r="J11" s="20">
        <v>-5</v>
      </c>
      <c r="K11" s="20">
        <f>SUM(Tabela1[[#This Row],[MOD]:[Penalidades]])-IF(Tabela1[[#This Row],[Penalidade de Armadura?]]="sim",Linux!D24,0)</f>
        <v>1</v>
      </c>
      <c r="L11" s="20" t="s">
        <v>90</v>
      </c>
      <c r="M11" s="20" t="s">
        <v>50</v>
      </c>
      <c r="N11" s="21" t="s">
        <v>50</v>
      </c>
      <c r="P11" s="4" t="s">
        <v>5</v>
      </c>
      <c r="Q11" s="6">
        <v>-2</v>
      </c>
    </row>
    <row r="12" spans="2:17" x14ac:dyDescent="0.25">
      <c r="B12" s="7" t="s">
        <v>64</v>
      </c>
      <c r="C12" s="5" t="s">
        <v>65</v>
      </c>
      <c r="D12" s="5">
        <f>VLOOKUP(C12,Linux!$B$3:$D$8,3,FALSE)</f>
        <v>2</v>
      </c>
      <c r="E12" s="5">
        <f>VLOOKUP(Linux!$G$2,'uns dados aí'!$I$3:$J$22,2,FALSE)</f>
        <v>5</v>
      </c>
      <c r="F12" s="5">
        <f>IF(Tabela1[[#This Row],[Treinada?]]="sim",VLOOKUP(Linux!$G$2,'uns dados aí'!$E$2:$F$4,2,TRUE),"")</f>
        <v>4</v>
      </c>
      <c r="G12" s="5"/>
      <c r="H12" s="5"/>
      <c r="I12" s="5"/>
      <c r="J12" s="5"/>
      <c r="K12" s="5">
        <f>SUM(Tabela1[[#This Row],[MOD]:[Penalidades]])-IF(Tabela1[[#This Row],[Penalidade de Armadura?]]="sim",Linux!D25,0)</f>
        <v>11</v>
      </c>
      <c r="L12" s="5" t="s">
        <v>89</v>
      </c>
      <c r="M12" s="5" t="s">
        <v>50</v>
      </c>
      <c r="N12" s="8" t="s">
        <v>50</v>
      </c>
      <c r="P12" s="25" t="s">
        <v>6</v>
      </c>
      <c r="Q12" s="26">
        <v>-2</v>
      </c>
    </row>
    <row r="13" spans="2:17" ht="15.75" thickBot="1" x14ac:dyDescent="0.3">
      <c r="B13" s="19" t="s">
        <v>66</v>
      </c>
      <c r="C13" s="20" t="s">
        <v>49</v>
      </c>
      <c r="D13" s="20">
        <f>VLOOKUP(C13,Linux!$B$3:$D$8,3,FALSE)</f>
        <v>3</v>
      </c>
      <c r="E13" s="20">
        <f>VLOOKUP(Linux!$G$2,'uns dados aí'!$I$3:$J$22,2,FALSE)</f>
        <v>5</v>
      </c>
      <c r="F13" s="20" t="str">
        <f>IF(Tabela1[[#This Row],[Treinada?]]="sim",VLOOKUP(Linux!$G$2,'uns dados aí'!$E$2:$F$4,2,TRUE),"")</f>
        <v/>
      </c>
      <c r="G13" s="20"/>
      <c r="H13" s="20"/>
      <c r="I13" s="20"/>
      <c r="J13" s="20"/>
      <c r="K13" s="20">
        <f>SUM(Tabela1[[#This Row],[MOD]:[Penalidades]])-IF(Tabela1[[#This Row],[Penalidade de Armadura?]]="sim",Linux!D26,0)</f>
        <v>8</v>
      </c>
      <c r="L13" s="20" t="s">
        <v>90</v>
      </c>
      <c r="M13" s="20" t="s">
        <v>50</v>
      </c>
      <c r="N13" s="21" t="s">
        <v>51</v>
      </c>
      <c r="P13" s="12" t="s">
        <v>7</v>
      </c>
      <c r="Q13" s="14">
        <f>-2-2</f>
        <v>-4</v>
      </c>
    </row>
    <row r="14" spans="2:17" ht="15.75" thickTop="1" x14ac:dyDescent="0.25">
      <c r="B14" s="7" t="s">
        <v>67</v>
      </c>
      <c r="C14" s="5" t="s">
        <v>59</v>
      </c>
      <c r="D14" s="5">
        <f>VLOOKUP(C14,Linux!$B$3:$D$8,3,FALSE)</f>
        <v>0</v>
      </c>
      <c r="E14" s="5">
        <f>VLOOKUP(Linux!$G$2,'uns dados aí'!$I$3:$J$22,2,FALSE)</f>
        <v>5</v>
      </c>
      <c r="F14" s="5" t="str">
        <f>IF(Tabela1[[#This Row],[Treinada?]]="sim",VLOOKUP(Linux!$G$2,'uns dados aí'!$E$2:$F$4,2,TRUE),"")</f>
        <v/>
      </c>
      <c r="G14" s="5"/>
      <c r="H14" s="5"/>
      <c r="I14" s="5"/>
      <c r="J14" s="5">
        <v>-5</v>
      </c>
      <c r="K14" s="5">
        <f>SUM(Tabela1[[#This Row],[MOD]:[Penalidades]])-IF(Tabela1[[#This Row],[Penalidade de Armadura?]]="sim",Linux!D27,0)</f>
        <v>0</v>
      </c>
      <c r="L14" s="5" t="s">
        <v>90</v>
      </c>
      <c r="M14" s="5" t="s">
        <v>51</v>
      </c>
      <c r="N14" s="8" t="s">
        <v>50</v>
      </c>
    </row>
    <row r="15" spans="2:17" x14ac:dyDescent="0.25">
      <c r="B15" s="19" t="s">
        <v>68</v>
      </c>
      <c r="C15" s="20" t="s">
        <v>49</v>
      </c>
      <c r="D15" s="20">
        <f>VLOOKUP(C15,Linux!$B$3:$D$8,3,FALSE)</f>
        <v>3</v>
      </c>
      <c r="E15" s="20">
        <f>VLOOKUP(Linux!$G$2,'uns dados aí'!$I$3:$J$22,2,FALSE)</f>
        <v>5</v>
      </c>
      <c r="F15" s="20">
        <f>IF(Tabela1[[#This Row],[Treinada?]]="sim",VLOOKUP(Linux!$G$2,'uns dados aí'!$E$2:$F$4,2,TRUE),"")</f>
        <v>4</v>
      </c>
      <c r="G15" s="20"/>
      <c r="H15" s="20"/>
      <c r="I15" s="20"/>
      <c r="J15" s="20"/>
      <c r="K15" s="20">
        <f>SUM(Tabela1[[#This Row],[MOD]:[Penalidades]])-IF(Tabela1[[#This Row],[Penalidade de Armadura?]]="sim",Linux!D28,0)</f>
        <v>12</v>
      </c>
      <c r="L15" s="20" t="s">
        <v>89</v>
      </c>
      <c r="M15" s="20" t="s">
        <v>50</v>
      </c>
      <c r="N15" s="21" t="s">
        <v>50</v>
      </c>
    </row>
    <row r="16" spans="2:17" x14ac:dyDescent="0.25">
      <c r="B16" s="7" t="s">
        <v>69</v>
      </c>
      <c r="C16" s="5" t="s">
        <v>55</v>
      </c>
      <c r="D16" s="5">
        <f>VLOOKUP(C16,Linux!$B$3:$D$8,3,FALSE)</f>
        <v>5</v>
      </c>
      <c r="E16" s="5">
        <f>VLOOKUP(Linux!$G$2,'uns dados aí'!$I$3:$J$22,2,FALSE)</f>
        <v>5</v>
      </c>
      <c r="F16" s="5" t="str">
        <f>IF(Tabela1[[#This Row],[Treinada?]]="sim",VLOOKUP(Linux!$G$2,'uns dados aí'!$E$2:$F$4,2,TRUE),"")</f>
        <v/>
      </c>
      <c r="G16" s="5"/>
      <c r="H16" s="5"/>
      <c r="I16" s="5"/>
      <c r="J16" s="5"/>
      <c r="K16" s="5">
        <f>SUM(Tabela1[[#This Row],[MOD]:[Penalidades]])-IF(Tabela1[[#This Row],[Penalidade de Armadura?]]="sim",Linux!D29,0)</f>
        <v>10</v>
      </c>
      <c r="L16" s="5" t="s">
        <v>90</v>
      </c>
      <c r="M16" s="5" t="s">
        <v>50</v>
      </c>
      <c r="N16" s="8" t="s">
        <v>50</v>
      </c>
    </row>
    <row r="17" spans="2:14" x14ac:dyDescent="0.25">
      <c r="B17" s="19" t="s">
        <v>70</v>
      </c>
      <c r="C17" s="20" t="s">
        <v>61</v>
      </c>
      <c r="D17" s="20">
        <f>VLOOKUP(C17,Linux!$B$3:$D$8,3,FALSE)</f>
        <v>-1</v>
      </c>
      <c r="E17" s="20">
        <f>VLOOKUP(Linux!$G$2,'uns dados aí'!$I$3:$J$22,2,FALSE)</f>
        <v>5</v>
      </c>
      <c r="F17" s="20" t="str">
        <f>IF(Tabela1[[#This Row],[Treinada?]]="sim",VLOOKUP(Linux!$G$2,'uns dados aí'!$E$2:$F$4,2,TRUE),"")</f>
        <v/>
      </c>
      <c r="G17" s="20"/>
      <c r="H17" s="20"/>
      <c r="I17" s="20"/>
      <c r="J17" s="20">
        <v>-5</v>
      </c>
      <c r="K17" s="20">
        <f>SUM(Tabela1[[#This Row],[MOD]:[Penalidades]])-IF(Tabela1[[#This Row],[Penalidade de Armadura?]]="sim",Linux!D30,0)</f>
        <v>-1</v>
      </c>
      <c r="L17" s="20" t="s">
        <v>90</v>
      </c>
      <c r="M17" s="20" t="s">
        <v>50</v>
      </c>
      <c r="N17" s="21" t="s">
        <v>50</v>
      </c>
    </row>
    <row r="18" spans="2:14" x14ac:dyDescent="0.25">
      <c r="B18" s="7" t="s">
        <v>71</v>
      </c>
      <c r="C18" s="5" t="s">
        <v>59</v>
      </c>
      <c r="D18" s="5">
        <f>VLOOKUP(C18,Linux!$B$3:$D$8,3,FALSE)</f>
        <v>0</v>
      </c>
      <c r="E18" s="5">
        <f>VLOOKUP(Linux!$G$2,'uns dados aí'!$I$3:$J$22,2,FALSE)</f>
        <v>5</v>
      </c>
      <c r="F18" s="5" t="str">
        <f>IF(Tabela1[[#This Row],[Treinada?]]="sim",VLOOKUP(Linux!$G$2,'uns dados aí'!$E$2:$F$4,2,TRUE),"")</f>
        <v/>
      </c>
      <c r="G18" s="5"/>
      <c r="H18" s="5"/>
      <c r="I18" s="5"/>
      <c r="J18" s="5">
        <v>-5</v>
      </c>
      <c r="K18" s="5">
        <f>SUM(Tabela1[[#This Row],[MOD]:[Penalidades]])-IF(Tabela1[[#This Row],[Penalidade de Armadura?]]="sim",Linux!D31,0)</f>
        <v>0</v>
      </c>
      <c r="L18" s="5" t="s">
        <v>90</v>
      </c>
      <c r="M18" s="5" t="s">
        <v>50</v>
      </c>
      <c r="N18" s="8" t="s">
        <v>50</v>
      </c>
    </row>
    <row r="19" spans="2:14" x14ac:dyDescent="0.25">
      <c r="B19" s="19" t="s">
        <v>72</v>
      </c>
      <c r="C19" s="20" t="s">
        <v>53</v>
      </c>
      <c r="D19" s="20">
        <f>VLOOKUP(C19,Linux!$B$3:$D$8,3,FALSE)</f>
        <v>1</v>
      </c>
      <c r="E19" s="20">
        <f>VLOOKUP(Linux!$G$2,'uns dados aí'!$I$3:$J$22,2,FALSE)</f>
        <v>5</v>
      </c>
      <c r="F19" s="20" t="str">
        <f>IF(Tabela1[[#This Row],[Treinada?]]="sim",VLOOKUP(Linux!$G$2,'uns dados aí'!$E$2:$F$4,2,TRUE),"")</f>
        <v/>
      </c>
      <c r="G19" s="20"/>
      <c r="H19" s="20"/>
      <c r="I19" s="20"/>
      <c r="J19" s="20">
        <v>-5</v>
      </c>
      <c r="K19" s="20">
        <f>SUM(Tabela1[[#This Row],[MOD]:[Penalidades]])-IF(Tabela1[[#This Row],[Penalidade de Armadura?]]="sim",Linux!D32,0)</f>
        <v>1</v>
      </c>
      <c r="L19" s="20" t="s">
        <v>90</v>
      </c>
      <c r="M19" s="20" t="s">
        <v>51</v>
      </c>
      <c r="N19" s="21" t="s">
        <v>50</v>
      </c>
    </row>
    <row r="20" spans="2:14" x14ac:dyDescent="0.25">
      <c r="B20" s="7" t="s">
        <v>73</v>
      </c>
      <c r="C20" s="5" t="s">
        <v>49</v>
      </c>
      <c r="D20" s="5">
        <f>VLOOKUP(C20,Linux!$B$3:$D$8,3,FALSE)</f>
        <v>3</v>
      </c>
      <c r="E20" s="5">
        <f>VLOOKUP(Linux!$G$2,'uns dados aí'!$I$3:$J$22,2,FALSE)</f>
        <v>5</v>
      </c>
      <c r="F20" s="5" t="str">
        <f>IF(Tabela1[[#This Row],[Treinada?]]="sim",VLOOKUP(Linux!$G$2,'uns dados aí'!$E$2:$F$4,2,TRUE),"")</f>
        <v/>
      </c>
      <c r="G20" s="5"/>
      <c r="H20" s="5"/>
      <c r="I20" s="5"/>
      <c r="J20" s="5"/>
      <c r="K20" s="5">
        <f>SUM(Tabela1[[#This Row],[MOD]:[Penalidades]])-IF(Tabela1[[#This Row],[Penalidade de Armadura?]]="sim",Linux!D33,0)</f>
        <v>8</v>
      </c>
      <c r="L20" s="5" t="s">
        <v>90</v>
      </c>
      <c r="M20" s="5" t="s">
        <v>51</v>
      </c>
      <c r="N20" s="8" t="s">
        <v>51</v>
      </c>
    </row>
    <row r="21" spans="2:14" x14ac:dyDescent="0.25">
      <c r="B21" s="19" t="s">
        <v>74</v>
      </c>
      <c r="C21" s="20" t="s">
        <v>55</v>
      </c>
      <c r="D21" s="20">
        <f>VLOOKUP(C21,Linux!$B$3:$D$8,3,FALSE)</f>
        <v>5</v>
      </c>
      <c r="E21" s="20">
        <f>VLOOKUP(Linux!$G$2,'uns dados aí'!$I$3:$J$22,2,FALSE)</f>
        <v>5</v>
      </c>
      <c r="F21" s="20">
        <f>IF(Tabela1[[#This Row],[Treinada?]]="sim",VLOOKUP(Linux!$G$2,'uns dados aí'!$E$2:$F$4,2,TRUE),"")</f>
        <v>4</v>
      </c>
      <c r="G21" s="20"/>
      <c r="H21" s="20">
        <v>5</v>
      </c>
      <c r="I21" s="20"/>
      <c r="J21" s="20"/>
      <c r="K21" s="20">
        <f>SUM(Tabela1[[#This Row],[MOD]:[Penalidades]])-IF(Tabela1[[#This Row],[Penalidade de Armadura?]]="sim",Linux!D34,0)</f>
        <v>19</v>
      </c>
      <c r="L21" s="20" t="s">
        <v>89</v>
      </c>
      <c r="M21" s="20" t="s">
        <v>50</v>
      </c>
      <c r="N21" s="21" t="s">
        <v>50</v>
      </c>
    </row>
    <row r="22" spans="2:14" x14ac:dyDescent="0.25">
      <c r="B22" s="7" t="s">
        <v>75</v>
      </c>
      <c r="C22" s="5" t="s">
        <v>59</v>
      </c>
      <c r="D22" s="5">
        <f>VLOOKUP(C22,Linux!$B$3:$D$8,3,FALSE)</f>
        <v>0</v>
      </c>
      <c r="E22" s="5">
        <f>VLOOKUP(Linux!$G$2,'uns dados aí'!$I$3:$J$22,2,FALSE)</f>
        <v>5</v>
      </c>
      <c r="F22" s="5" t="str">
        <f>IF(Tabela1[[#This Row],[Treinada?]]="sim",VLOOKUP(Linux!$G$2,'uns dados aí'!$E$2:$F$4,2,TRUE),"")</f>
        <v/>
      </c>
      <c r="G22" s="5"/>
      <c r="H22" s="5"/>
      <c r="I22" s="5"/>
      <c r="J22" s="5">
        <v>-5</v>
      </c>
      <c r="K22" s="5">
        <f>SUM(Tabela1[[#This Row],[MOD]:[Penalidades]])-IF(Tabela1[[#This Row],[Penalidade de Armadura?]]="sim",Linux!D35,0)</f>
        <v>0</v>
      </c>
      <c r="L22" s="5" t="s">
        <v>90</v>
      </c>
      <c r="M22" s="5" t="s">
        <v>51</v>
      </c>
      <c r="N22" s="8" t="s">
        <v>50</v>
      </c>
    </row>
    <row r="23" spans="2:14" x14ac:dyDescent="0.25">
      <c r="B23" s="19" t="s">
        <v>76</v>
      </c>
      <c r="C23" s="20" t="s">
        <v>59</v>
      </c>
      <c r="D23" s="20">
        <f>VLOOKUP(C23,Linux!$B$3:$D$8,3,FALSE)</f>
        <v>0</v>
      </c>
      <c r="E23" s="20">
        <f>VLOOKUP(Linux!$G$2,'uns dados aí'!$I$3:$J$22,2,FALSE)</f>
        <v>5</v>
      </c>
      <c r="F23" s="20" t="str">
        <f>IF(Tabela1[[#This Row],[Treinada?]]="sim",VLOOKUP(Linux!$G$2,'uns dados aí'!$E$2:$F$4,2,TRUE),"")</f>
        <v/>
      </c>
      <c r="G23" s="20"/>
      <c r="H23" s="20"/>
      <c r="I23" s="20"/>
      <c r="J23" s="20">
        <v>-5</v>
      </c>
      <c r="K23" s="20">
        <f>SUM(Tabela1[[#This Row],[MOD]:[Penalidades]])-IF(Tabela1[[#This Row],[Penalidade de Armadura?]]="sim",Linux!D36,0)</f>
        <v>0</v>
      </c>
      <c r="L23" s="20" t="s">
        <v>90</v>
      </c>
      <c r="M23" s="20" t="s">
        <v>51</v>
      </c>
      <c r="N23" s="21" t="s">
        <v>50</v>
      </c>
    </row>
    <row r="24" spans="2:14" x14ac:dyDescent="0.25">
      <c r="B24" s="7" t="s">
        <v>77</v>
      </c>
      <c r="C24" s="5" t="s">
        <v>59</v>
      </c>
      <c r="D24" s="5">
        <f>VLOOKUP(C24,Linux!$B$3:$D$8,3,FALSE)</f>
        <v>0</v>
      </c>
      <c r="E24" s="5">
        <f>VLOOKUP(Linux!$G$2,'uns dados aí'!$I$3:$J$22,2,FALSE)</f>
        <v>5</v>
      </c>
      <c r="F24" s="5" t="str">
        <f>IF(Tabela1[[#This Row],[Treinada?]]="sim",VLOOKUP(Linux!$G$2,'uns dados aí'!$E$2:$F$4,2,TRUE),"")</f>
        <v/>
      </c>
      <c r="G24" s="5"/>
      <c r="H24" s="5"/>
      <c r="I24" s="5"/>
      <c r="J24" s="5">
        <v>-5</v>
      </c>
      <c r="K24" s="5">
        <f>SUM(Tabela1[[#This Row],[MOD]:[Penalidades]])-IF(Tabela1[[#This Row],[Penalidade de Armadura?]]="sim",Linux!D37,0)</f>
        <v>0</v>
      </c>
      <c r="L24" s="5" t="s">
        <v>90</v>
      </c>
      <c r="M24" s="5" t="s">
        <v>51</v>
      </c>
      <c r="N24" s="8" t="s">
        <v>50</v>
      </c>
    </row>
    <row r="25" spans="2:14" x14ac:dyDescent="0.25">
      <c r="B25" s="19" t="s">
        <v>78</v>
      </c>
      <c r="C25" s="20" t="s">
        <v>61</v>
      </c>
      <c r="D25" s="20">
        <f>VLOOKUP(C25,Linux!$B$3:$D$8,3,FALSE)</f>
        <v>-1</v>
      </c>
      <c r="E25" s="20">
        <f>VLOOKUP(Linux!$G$2,'uns dados aí'!$I$3:$J$22,2,FALSE)</f>
        <v>5</v>
      </c>
      <c r="F25" s="20" t="str">
        <f>IF(Tabela1[[#This Row],[Treinada?]]="sim",VLOOKUP(Linux!$G$2,'uns dados aí'!$E$2:$F$4,2,TRUE),"")</f>
        <v/>
      </c>
      <c r="G25" s="20"/>
      <c r="H25" s="20"/>
      <c r="I25" s="20"/>
      <c r="J25" s="20">
        <v>-5</v>
      </c>
      <c r="K25" s="20">
        <f>SUM(Tabela1[[#This Row],[MOD]:[Penalidades]])-IF(Tabela1[[#This Row],[Penalidade de Armadura?]]="sim",Linux!D38,0)</f>
        <v>-1</v>
      </c>
      <c r="L25" s="20" t="s">
        <v>90</v>
      </c>
      <c r="M25" s="20" t="s">
        <v>50</v>
      </c>
      <c r="N25" s="21" t="s">
        <v>50</v>
      </c>
    </row>
    <row r="26" spans="2:14" x14ac:dyDescent="0.25">
      <c r="B26" s="7" t="s">
        <v>79</v>
      </c>
      <c r="C26" s="5" t="s">
        <v>49</v>
      </c>
      <c r="D26" s="5">
        <f>VLOOKUP(C26,Linux!$B$3:$D$8,3,FALSE)</f>
        <v>3</v>
      </c>
      <c r="E26" s="5">
        <f>VLOOKUP(Linux!$G$2,'uns dados aí'!$I$3:$J$22,2,FALSE)</f>
        <v>5</v>
      </c>
      <c r="F26" s="5" t="str">
        <f>IF(Tabela1[[#This Row],[Treinada?]]="sim",VLOOKUP(Linux!$G$2,'uns dados aí'!$E$2:$F$4,2,TRUE),"")</f>
        <v/>
      </c>
      <c r="G26" s="5"/>
      <c r="H26" s="5"/>
      <c r="I26" s="5"/>
      <c r="J26" s="5"/>
      <c r="K26" s="5">
        <f>SUM(Tabela1[[#This Row],[MOD]:[Penalidades]])-IF(Tabela1[[#This Row],[Penalidade de Armadura?]]="sim",Linux!D39,0)</f>
        <v>8</v>
      </c>
      <c r="L26" s="5" t="s">
        <v>90</v>
      </c>
      <c r="M26" s="5" t="s">
        <v>51</v>
      </c>
      <c r="N26" s="8" t="s">
        <v>50</v>
      </c>
    </row>
    <row r="27" spans="2:14" x14ac:dyDescent="0.25">
      <c r="B27" s="19" t="s">
        <v>80</v>
      </c>
      <c r="C27" s="20" t="s">
        <v>49</v>
      </c>
      <c r="D27" s="20">
        <f>VLOOKUP(C27,Linux!$B$3:$D$8,3,FALSE)</f>
        <v>3</v>
      </c>
      <c r="E27" s="20">
        <f>VLOOKUP(Linux!$G$2,'uns dados aí'!$I$3:$J$22,2,FALSE)</f>
        <v>5</v>
      </c>
      <c r="F27" s="20" t="str">
        <f>IF(Tabela1[[#This Row],[Treinada?]]="sim",VLOOKUP(Linux!$G$2,'uns dados aí'!$E$2:$F$4,2,TRUE),"")</f>
        <v/>
      </c>
      <c r="G27" s="20"/>
      <c r="H27" s="20"/>
      <c r="I27" s="20"/>
      <c r="J27" s="20"/>
      <c r="K27" s="20">
        <f>SUM(Tabela1[[#This Row],[MOD]:[Penalidades]])-IF(Tabela1[[#This Row],[Penalidade de Armadura?]]="sim",Linux!D40,0)</f>
        <v>8</v>
      </c>
      <c r="L27" s="20" t="s">
        <v>90</v>
      </c>
      <c r="M27" s="20" t="s">
        <v>50</v>
      </c>
      <c r="N27" s="21" t="s">
        <v>50</v>
      </c>
    </row>
    <row r="28" spans="2:14" x14ac:dyDescent="0.25">
      <c r="B28" s="7" t="s">
        <v>81</v>
      </c>
      <c r="C28" s="5" t="s">
        <v>49</v>
      </c>
      <c r="D28" s="5">
        <f>VLOOKUP(C28,Linux!$B$3:$D$8,3,FALSE)</f>
        <v>3</v>
      </c>
      <c r="E28" s="5">
        <f>VLOOKUP(Linux!$G$2,'uns dados aí'!$I$3:$J$22,2,FALSE)</f>
        <v>5</v>
      </c>
      <c r="F28" s="5">
        <f>IF(Tabela1[[#This Row],[Treinada?]]="sim",VLOOKUP(Linux!$G$2,'uns dados aí'!$E$2:$F$4,2,TRUE),"")</f>
        <v>4</v>
      </c>
      <c r="G28" s="5"/>
      <c r="H28" s="5"/>
      <c r="I28" s="5"/>
      <c r="J28" s="5"/>
      <c r="K28" s="5">
        <f>SUM(Tabela1[[#This Row],[MOD]:[Penalidades]])-IF(Tabela1[[#This Row],[Penalidade de Armadura?]]="sim",Linux!D41,0)</f>
        <v>12</v>
      </c>
      <c r="L28" s="5" t="s">
        <v>89</v>
      </c>
      <c r="M28" s="5" t="s">
        <v>50</v>
      </c>
      <c r="N28" s="8" t="s">
        <v>50</v>
      </c>
    </row>
    <row r="29" spans="2:14" x14ac:dyDescent="0.25">
      <c r="B29" s="19" t="s">
        <v>82</v>
      </c>
      <c r="C29" s="20" t="s">
        <v>61</v>
      </c>
      <c r="D29" s="20">
        <f>VLOOKUP(C29,Linux!$B$3:$D$8,3,FALSE)</f>
        <v>-1</v>
      </c>
      <c r="E29" s="20">
        <f>VLOOKUP(Linux!$G$2,'uns dados aí'!$I$3:$J$22,2,FALSE)</f>
        <v>5</v>
      </c>
      <c r="F29" s="20" t="str">
        <f>IF(Tabela1[[#This Row],[Treinada?]]="sim",VLOOKUP(Linux!$G$2,'uns dados aí'!$E$2:$F$4,2,TRUE),"")</f>
        <v/>
      </c>
      <c r="G29" s="20"/>
      <c r="H29" s="20"/>
      <c r="I29" s="20"/>
      <c r="J29" s="20">
        <v>-5</v>
      </c>
      <c r="K29" s="20">
        <f>SUM(Tabela1[[#This Row],[MOD]:[Penalidades]])-IF(Tabela1[[#This Row],[Penalidade de Armadura?]]="sim",Linux!D42,0)</f>
        <v>-1</v>
      </c>
      <c r="L29" s="20" t="s">
        <v>90</v>
      </c>
      <c r="M29" s="20" t="s">
        <v>51</v>
      </c>
      <c r="N29" s="21" t="s">
        <v>50</v>
      </c>
    </row>
    <row r="30" spans="2:14" x14ac:dyDescent="0.25">
      <c r="B30" s="7" t="s">
        <v>83</v>
      </c>
      <c r="C30" s="5" t="s">
        <v>61</v>
      </c>
      <c r="D30" s="5">
        <f>VLOOKUP(C30,Linux!$B$3:$D$8,3,FALSE)</f>
        <v>-1</v>
      </c>
      <c r="E30" s="5">
        <f>VLOOKUP(Linux!$G$2,'uns dados aí'!$I$3:$J$22,2,FALSE)</f>
        <v>5</v>
      </c>
      <c r="F30" s="5" t="str">
        <f>IF(Tabela1[[#This Row],[Treinada?]]="sim",VLOOKUP(Linux!$G$2,'uns dados aí'!$E$2:$F$4,2,TRUE),"")</f>
        <v/>
      </c>
      <c r="G30" s="5"/>
      <c r="H30" s="5"/>
      <c r="I30" s="5"/>
      <c r="J30" s="5">
        <v>-5</v>
      </c>
      <c r="K30" s="5">
        <f>SUM(Tabela1[[#This Row],[MOD]:[Penalidades]])-IF(Tabela1[[#This Row],[Penalidade de Armadura?]]="sim",Linux!D43,0)</f>
        <v>-1</v>
      </c>
      <c r="L30" s="5" t="s">
        <v>90</v>
      </c>
      <c r="M30" s="5" t="s">
        <v>50</v>
      </c>
      <c r="N30" s="8" t="s">
        <v>50</v>
      </c>
    </row>
    <row r="31" spans="2:14" x14ac:dyDescent="0.25">
      <c r="B31" s="22" t="s">
        <v>84</v>
      </c>
      <c r="C31" s="23" t="s">
        <v>61</v>
      </c>
      <c r="D31" s="23">
        <f>VLOOKUP(C31,Linux!$B$3:$D$8,3,FALSE)</f>
        <v>-1</v>
      </c>
      <c r="E31" s="23">
        <f>VLOOKUP(Linux!$G$2,'uns dados aí'!$I$3:$J$22,2,FALSE)</f>
        <v>5</v>
      </c>
      <c r="F31" s="23" t="str">
        <f>IF(Tabela1[[#This Row],[Treinada?]]="sim",VLOOKUP(Linux!$G$2,'uns dados aí'!$E$2:$F$4,2,TRUE),"")</f>
        <v/>
      </c>
      <c r="G31" s="23"/>
      <c r="H31" s="23"/>
      <c r="I31" s="23"/>
      <c r="J31" s="23">
        <v>-5</v>
      </c>
      <c r="K31" s="23">
        <f>SUM(Tabela1[[#This Row],[MOD]:[Penalidades]])-IF(Tabela1[[#This Row],[Penalidade de Armadura?]]="sim",Linux!D44,0)</f>
        <v>-1</v>
      </c>
      <c r="L31" s="23" t="s">
        <v>90</v>
      </c>
      <c r="M31" s="23" t="s">
        <v>50</v>
      </c>
      <c r="N31" s="24" t="s">
        <v>50</v>
      </c>
    </row>
  </sheetData>
  <mergeCells count="2">
    <mergeCell ref="P2:Q2"/>
    <mergeCell ref="P7:Q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A298-6B82-4592-8F3F-E85BD19CDF8C}">
  <dimension ref="A1"/>
  <sheetViews>
    <sheetView workbookViewId="0">
      <selection activeCell="B2" sqref="B2:B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610C-D891-4343-BCC6-4C15B1AC2944}">
  <dimension ref="B1:J23"/>
  <sheetViews>
    <sheetView workbookViewId="0">
      <selection activeCell="C19" sqref="C19"/>
    </sheetView>
  </sheetViews>
  <sheetFormatPr defaultRowHeight="15" x14ac:dyDescent="0.25"/>
  <cols>
    <col min="8" max="8" width="20.28515625" bestFit="1" customWidth="1"/>
    <col min="9" max="9" width="19.85546875" bestFit="1" customWidth="1"/>
    <col min="10" max="10" width="17" bestFit="1" customWidth="1"/>
  </cols>
  <sheetData>
    <row r="1" spans="2:10" ht="15.75" thickBot="1" x14ac:dyDescent="0.3"/>
    <row r="2" spans="2:10" ht="15.75" thickTop="1" x14ac:dyDescent="0.25">
      <c r="B2" s="38">
        <v>1</v>
      </c>
      <c r="C2" s="39" t="s">
        <v>124</v>
      </c>
      <c r="E2" s="38">
        <v>1</v>
      </c>
      <c r="F2" s="39">
        <v>2</v>
      </c>
      <c r="H2" s="48" t="s">
        <v>130</v>
      </c>
      <c r="I2" s="49" t="s">
        <v>129</v>
      </c>
      <c r="J2" s="39" t="s">
        <v>131</v>
      </c>
    </row>
    <row r="3" spans="2:10" x14ac:dyDescent="0.25">
      <c r="B3" s="40">
        <v>5</v>
      </c>
      <c r="C3" s="41" t="s">
        <v>125</v>
      </c>
      <c r="E3" s="40">
        <v>7</v>
      </c>
      <c r="F3" s="41">
        <v>4</v>
      </c>
      <c r="H3" s="40">
        <v>0</v>
      </c>
      <c r="I3" s="50">
        <v>1</v>
      </c>
      <c r="J3" s="41">
        <f>ROUNDDOWN(I3/2,0)</f>
        <v>0</v>
      </c>
    </row>
    <row r="4" spans="2:10" ht="15.75" thickBot="1" x14ac:dyDescent="0.3">
      <c r="B4" s="42">
        <v>9</v>
      </c>
      <c r="C4" s="43" t="s">
        <v>28</v>
      </c>
      <c r="E4" s="46">
        <v>15</v>
      </c>
      <c r="F4" s="47">
        <v>6</v>
      </c>
      <c r="H4" s="51">
        <v>1000</v>
      </c>
      <c r="I4" s="52">
        <v>2</v>
      </c>
      <c r="J4" s="43">
        <f t="shared" ref="J4:J22" si="0">ROUNDDOWN(I4/2,0)</f>
        <v>1</v>
      </c>
    </row>
    <row r="5" spans="2:10" ht="15.75" thickTop="1" x14ac:dyDescent="0.25">
      <c r="B5" s="40">
        <v>13</v>
      </c>
      <c r="C5" s="41" t="s">
        <v>126</v>
      </c>
      <c r="H5" s="53">
        <v>3000</v>
      </c>
      <c r="I5" s="50">
        <v>3</v>
      </c>
      <c r="J5" s="41">
        <f t="shared" si="0"/>
        <v>1</v>
      </c>
    </row>
    <row r="6" spans="2:10" x14ac:dyDescent="0.25">
      <c r="B6" s="42">
        <v>17</v>
      </c>
      <c r="C6" s="43" t="s">
        <v>127</v>
      </c>
      <c r="H6" s="51">
        <v>6000</v>
      </c>
      <c r="I6" s="52">
        <v>4</v>
      </c>
      <c r="J6" s="43">
        <f t="shared" si="0"/>
        <v>2</v>
      </c>
    </row>
    <row r="7" spans="2:10" ht="15.75" thickBot="1" x14ac:dyDescent="0.3">
      <c r="B7" s="44">
        <v>20</v>
      </c>
      <c r="C7" s="45" t="s">
        <v>128</v>
      </c>
      <c r="H7" s="53">
        <v>10000</v>
      </c>
      <c r="I7" s="50">
        <v>5</v>
      </c>
      <c r="J7" s="41">
        <f t="shared" si="0"/>
        <v>2</v>
      </c>
    </row>
    <row r="8" spans="2:10" ht="16.5" thickTop="1" thickBot="1" x14ac:dyDescent="0.3">
      <c r="H8" s="51">
        <v>15000</v>
      </c>
      <c r="I8" s="52">
        <v>6</v>
      </c>
      <c r="J8" s="43">
        <f t="shared" si="0"/>
        <v>3</v>
      </c>
    </row>
    <row r="9" spans="2:10" ht="15.75" thickTop="1" x14ac:dyDescent="0.25">
      <c r="B9" s="87" t="s">
        <v>140</v>
      </c>
      <c r="C9" s="88"/>
      <c r="H9" s="53">
        <v>21000</v>
      </c>
      <c r="I9" s="50">
        <v>7</v>
      </c>
      <c r="J9" s="41">
        <f t="shared" si="0"/>
        <v>3</v>
      </c>
    </row>
    <row r="10" spans="2:10" x14ac:dyDescent="0.25">
      <c r="B10" s="40">
        <v>3</v>
      </c>
      <c r="C10" s="41">
        <v>0</v>
      </c>
      <c r="H10" s="51">
        <v>28000</v>
      </c>
      <c r="I10" s="52">
        <v>8</v>
      </c>
      <c r="J10" s="43">
        <f t="shared" si="0"/>
        <v>4</v>
      </c>
    </row>
    <row r="11" spans="2:10" x14ac:dyDescent="0.25">
      <c r="B11" s="42">
        <f>B10+4</f>
        <v>7</v>
      </c>
      <c r="C11" s="43">
        <v>1</v>
      </c>
      <c r="H11" s="53">
        <v>36000</v>
      </c>
      <c r="I11" s="50">
        <v>9</v>
      </c>
      <c r="J11" s="41">
        <f t="shared" si="0"/>
        <v>4</v>
      </c>
    </row>
    <row r="12" spans="2:10" x14ac:dyDescent="0.25">
      <c r="B12" s="40">
        <f t="shared" ref="B12:B14" si="1">B11+4</f>
        <v>11</v>
      </c>
      <c r="C12" s="41">
        <v>2</v>
      </c>
      <c r="H12" s="51">
        <v>45000</v>
      </c>
      <c r="I12" s="52">
        <v>10</v>
      </c>
      <c r="J12" s="43">
        <f t="shared" si="0"/>
        <v>5</v>
      </c>
    </row>
    <row r="13" spans="2:10" x14ac:dyDescent="0.25">
      <c r="B13" s="42">
        <f t="shared" si="1"/>
        <v>15</v>
      </c>
      <c r="C13" s="43">
        <v>3</v>
      </c>
      <c r="H13" s="53">
        <v>55000</v>
      </c>
      <c r="I13" s="50">
        <v>11</v>
      </c>
      <c r="J13" s="41">
        <f t="shared" si="0"/>
        <v>5</v>
      </c>
    </row>
    <row r="14" spans="2:10" ht="15.75" thickBot="1" x14ac:dyDescent="0.3">
      <c r="B14" s="44">
        <f t="shared" si="1"/>
        <v>19</v>
      </c>
      <c r="C14" s="45">
        <v>4</v>
      </c>
      <c r="H14" s="51">
        <v>66000</v>
      </c>
      <c r="I14" s="52">
        <v>12</v>
      </c>
      <c r="J14" s="43">
        <f t="shared" si="0"/>
        <v>6</v>
      </c>
    </row>
    <row r="15" spans="2:10" ht="15.75" thickTop="1" x14ac:dyDescent="0.25">
      <c r="H15" s="53">
        <v>78000</v>
      </c>
      <c r="I15" s="50">
        <v>13</v>
      </c>
      <c r="J15" s="41">
        <f t="shared" si="0"/>
        <v>6</v>
      </c>
    </row>
    <row r="16" spans="2:10" x14ac:dyDescent="0.25">
      <c r="H16" s="51">
        <v>91000</v>
      </c>
      <c r="I16" s="52">
        <v>14</v>
      </c>
      <c r="J16" s="43">
        <f t="shared" si="0"/>
        <v>7</v>
      </c>
    </row>
    <row r="17" spans="8:10" x14ac:dyDescent="0.25">
      <c r="H17" s="53">
        <v>105000</v>
      </c>
      <c r="I17" s="50">
        <v>15</v>
      </c>
      <c r="J17" s="41">
        <f t="shared" si="0"/>
        <v>7</v>
      </c>
    </row>
    <row r="18" spans="8:10" x14ac:dyDescent="0.25">
      <c r="H18" s="51">
        <v>120000</v>
      </c>
      <c r="I18" s="52">
        <v>16</v>
      </c>
      <c r="J18" s="43">
        <f t="shared" si="0"/>
        <v>8</v>
      </c>
    </row>
    <row r="19" spans="8:10" x14ac:dyDescent="0.25">
      <c r="H19" s="53">
        <v>136000</v>
      </c>
      <c r="I19" s="50">
        <v>17</v>
      </c>
      <c r="J19" s="41">
        <f t="shared" si="0"/>
        <v>8</v>
      </c>
    </row>
    <row r="20" spans="8:10" x14ac:dyDescent="0.25">
      <c r="H20" s="51">
        <v>153000</v>
      </c>
      <c r="I20" s="52">
        <v>18</v>
      </c>
      <c r="J20" s="43">
        <f t="shared" si="0"/>
        <v>9</v>
      </c>
    </row>
    <row r="21" spans="8:10" x14ac:dyDescent="0.25">
      <c r="H21" s="53">
        <v>171000</v>
      </c>
      <c r="I21" s="50">
        <v>19</v>
      </c>
      <c r="J21" s="41">
        <f t="shared" si="0"/>
        <v>9</v>
      </c>
    </row>
    <row r="22" spans="8:10" ht="15.75" thickBot="1" x14ac:dyDescent="0.3">
      <c r="H22" s="54">
        <v>190000</v>
      </c>
      <c r="I22" s="55">
        <v>20</v>
      </c>
      <c r="J22" s="47">
        <f t="shared" si="0"/>
        <v>10</v>
      </c>
    </row>
    <row r="23" spans="8:10" ht="15.75" thickTop="1" x14ac:dyDescent="0.25"/>
  </sheetData>
  <mergeCells count="1">
    <mergeCell ref="B9:C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Linux</vt:lpstr>
      <vt:lpstr>Testes</vt:lpstr>
      <vt:lpstr>Equipamento</vt:lpstr>
      <vt:lpstr>Perícias</vt:lpstr>
      <vt:lpstr>Planilha1</vt:lpstr>
      <vt:lpstr>uns dados aí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Segundo</dc:creator>
  <cp:lastModifiedBy>LUCIANO SEABRA DA ROCHA SEGUNDO</cp:lastModifiedBy>
  <dcterms:created xsi:type="dcterms:W3CDTF">2024-07-27T17:21:25Z</dcterms:created>
  <dcterms:modified xsi:type="dcterms:W3CDTF">2025-01-02T10:25:41Z</dcterms:modified>
</cp:coreProperties>
</file>