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Ashzi\OneDrive\Documentos\GitHub\RPG\Fichas\Tormenta\"/>
    </mc:Choice>
  </mc:AlternateContent>
  <xr:revisionPtr revIDLastSave="0" documentId="13_ncr:1_{2C2EEBB4-A154-4867-A32A-0786FBC49EB7}" xr6:coauthVersionLast="47" xr6:coauthVersionMax="47" xr10:uidLastSave="{00000000-0000-0000-0000-000000000000}"/>
  <bookViews>
    <workbookView xWindow="-120" yWindow="-120" windowWidth="29040" windowHeight="16440" xr2:uid="{B06712FB-01E1-4038-87FF-6E8B7BD1F9D8}"/>
  </bookViews>
  <sheets>
    <sheet name="Cleber" sheetId="1" r:id="rId1"/>
    <sheet name="Poderes" sheetId="9" r:id="rId2"/>
    <sheet name="Testes" sheetId="5" state="hidden" r:id="rId3"/>
    <sheet name="Livro de Fórmulas" sheetId="6" r:id="rId4"/>
    <sheet name="Inventário" sheetId="2" r:id="rId5"/>
    <sheet name="Perícias" sheetId="3" r:id="rId6"/>
    <sheet name="Perícias (Cópia)" sheetId="8" state="hidden" r:id="rId7"/>
    <sheet name="uns dados aí" sheetId="4" r:id="rId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4" i="2" l="1"/>
  <c r="G18" i="2" l="1"/>
  <c r="G19" i="2"/>
  <c r="G20" i="2"/>
  <c r="G21" i="2"/>
  <c r="I18" i="2"/>
  <c r="I19" i="2"/>
  <c r="I20" i="2"/>
  <c r="I21" i="2"/>
  <c r="I17" i="2"/>
  <c r="G17" i="2"/>
  <c r="Q17" i="3"/>
  <c r="C23" i="2" l="1"/>
  <c r="F3" i="3"/>
  <c r="F4" i="3"/>
  <c r="F5" i="3"/>
  <c r="F6" i="3"/>
  <c r="F7" i="3"/>
  <c r="F10" i="3"/>
  <c r="F11" i="3"/>
  <c r="F13" i="3"/>
  <c r="F15" i="3"/>
  <c r="F16" i="3"/>
  <c r="F17" i="3"/>
  <c r="F19" i="3"/>
  <c r="F20" i="3"/>
  <c r="F23" i="3"/>
  <c r="F28" i="3"/>
  <c r="F29" i="3"/>
  <c r="F31" i="3"/>
  <c r="F32" i="3"/>
  <c r="G2" i="1"/>
  <c r="E7" i="3" s="1"/>
  <c r="F12" i="3" l="1"/>
  <c r="F22" i="3"/>
  <c r="F33" i="3"/>
  <c r="F21" i="3"/>
  <c r="F9" i="3"/>
  <c r="F25" i="3"/>
  <c r="F8" i="3"/>
  <c r="F18" i="3"/>
  <c r="F30" i="3"/>
  <c r="F24" i="3"/>
  <c r="F27" i="3"/>
  <c r="F26" i="3"/>
  <c r="F14" i="3"/>
  <c r="F32" i="8"/>
  <c r="F29" i="8"/>
  <c r="F28" i="8"/>
  <c r="F23" i="8"/>
  <c r="F20" i="8"/>
  <c r="F19" i="8"/>
  <c r="F17" i="8"/>
  <c r="F16" i="8"/>
  <c r="F15" i="8"/>
  <c r="F13" i="8"/>
  <c r="P12" i="8"/>
  <c r="F12" i="8"/>
  <c r="P11" i="8"/>
  <c r="F11" i="8"/>
  <c r="F10" i="8"/>
  <c r="P8" i="8"/>
  <c r="F7" i="8"/>
  <c r="F6" i="8"/>
  <c r="F5" i="8"/>
  <c r="F4" i="8"/>
  <c r="F3" i="8"/>
  <c r="P11" i="3"/>
  <c r="C6" i="1" s="1"/>
  <c r="P12" i="3"/>
  <c r="P8" i="3"/>
  <c r="E18" i="4"/>
  <c r="E19" i="4"/>
  <c r="E20" i="4"/>
  <c r="E21" i="4"/>
  <c r="P13" i="3" s="1"/>
  <c r="E22" i="4"/>
  <c r="E17" i="4"/>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H4" i="1" l="1"/>
  <c r="P9" i="3"/>
  <c r="P10" i="3"/>
  <c r="P13" i="8"/>
  <c r="P9" i="8"/>
  <c r="P10" i="8"/>
  <c r="C13" i="4"/>
  <c r="J3" i="4"/>
  <c r="J4" i="4"/>
  <c r="J5" i="4"/>
  <c r="J6" i="4"/>
  <c r="J7" i="4"/>
  <c r="I16" i="1"/>
  <c r="H16" i="1"/>
  <c r="G16" i="1"/>
  <c r="C8" i="1"/>
  <c r="C7" i="1"/>
  <c r="C5" i="1"/>
  <c r="C4" i="1"/>
  <c r="C3" i="1"/>
  <c r="D23" i="2" s="1"/>
  <c r="C25" i="2" s="1"/>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 i="5"/>
  <c r="B21" i="5"/>
  <c r="B22" i="5"/>
  <c r="B23" i="5"/>
  <c r="B24" i="5"/>
  <c r="B25" i="5"/>
  <c r="B26" i="5"/>
  <c r="B27" i="5"/>
  <c r="B28" i="5"/>
  <c r="B29" i="5"/>
  <c r="B30" i="5"/>
  <c r="B31" i="5"/>
  <c r="B4" i="5"/>
  <c r="B5" i="5"/>
  <c r="B6" i="5"/>
  <c r="B7" i="5"/>
  <c r="B8" i="5"/>
  <c r="B9" i="5"/>
  <c r="B10" i="5"/>
  <c r="B11" i="5"/>
  <c r="B12" i="5"/>
  <c r="B13" i="5"/>
  <c r="B14" i="5"/>
  <c r="B15" i="5"/>
  <c r="B16" i="5"/>
  <c r="B17" i="5"/>
  <c r="B18" i="5"/>
  <c r="B19" i="5"/>
  <c r="B20" i="5"/>
  <c r="B3" i="5"/>
  <c r="J8" i="4" l="1"/>
  <c r="J9" i="4"/>
  <c r="J10" i="4"/>
  <c r="J11" i="4"/>
  <c r="J12" i="4"/>
  <c r="J13" i="4"/>
  <c r="J14" i="4"/>
  <c r="J15" i="4"/>
  <c r="J16" i="4"/>
  <c r="J17" i="4"/>
  <c r="J18" i="4"/>
  <c r="J19" i="4"/>
  <c r="J20" i="4"/>
  <c r="J21" i="4"/>
  <c r="J22" i="4"/>
  <c r="D16" i="1"/>
  <c r="D5" i="1"/>
  <c r="D12" i="8" s="1"/>
  <c r="D6" i="1"/>
  <c r="D3" i="1"/>
  <c r="D4" i="1"/>
  <c r="D8" i="1"/>
  <c r="D7" i="1"/>
  <c r="C16" i="1"/>
  <c r="D27" i="8" l="1"/>
  <c r="D9" i="8"/>
  <c r="D33" i="8"/>
  <c r="D17" i="8"/>
  <c r="D32" i="8"/>
  <c r="D31" i="8"/>
  <c r="G5" i="1"/>
  <c r="D30" i="8"/>
  <c r="D15" i="8"/>
  <c r="D13" i="8"/>
  <c r="D29" i="8"/>
  <c r="D20" i="8"/>
  <c r="D3" i="8"/>
  <c r="D7" i="8"/>
  <c r="D28" i="8"/>
  <c r="D21" i="8"/>
  <c r="D5" i="8"/>
  <c r="D18" i="8"/>
  <c r="D24" i="8"/>
  <c r="D26" i="8"/>
  <c r="D23" i="8"/>
  <c r="D14" i="8"/>
  <c r="D8" i="8"/>
  <c r="D25" i="8"/>
  <c r="D22" i="8"/>
  <c r="D6" i="8"/>
  <c r="D4" i="8"/>
  <c r="D11" i="8"/>
  <c r="D19" i="8"/>
  <c r="D16" i="8"/>
  <c r="D10" i="8"/>
  <c r="E30" i="8"/>
  <c r="E27" i="8"/>
  <c r="E24" i="8"/>
  <c r="E21" i="8"/>
  <c r="E18" i="8"/>
  <c r="E15" i="8"/>
  <c r="E12" i="8"/>
  <c r="J12" i="8" s="1"/>
  <c r="F9" i="8"/>
  <c r="F14" i="8"/>
  <c r="F27" i="8"/>
  <c r="F33" i="8"/>
  <c r="E9" i="8"/>
  <c r="F21" i="8"/>
  <c r="E33" i="8"/>
  <c r="E5" i="8"/>
  <c r="F26" i="8"/>
  <c r="E3" i="8"/>
  <c r="E6" i="8"/>
  <c r="E29" i="8"/>
  <c r="E26" i="8"/>
  <c r="E23" i="8"/>
  <c r="E20" i="8"/>
  <c r="E17" i="8"/>
  <c r="E14" i="8"/>
  <c r="E11" i="8"/>
  <c r="J11" i="8" s="1"/>
  <c r="F8" i="8"/>
  <c r="E10" i="8"/>
  <c r="F30" i="8"/>
  <c r="E32" i="8"/>
  <c r="E8" i="8"/>
  <c r="E4" i="8"/>
  <c r="F31" i="8"/>
  <c r="F25" i="8"/>
  <c r="F22" i="8"/>
  <c r="E31" i="8"/>
  <c r="E28" i="8"/>
  <c r="E25" i="8"/>
  <c r="E22" i="8"/>
  <c r="E19" i="8"/>
  <c r="E16" i="8"/>
  <c r="E13" i="8"/>
  <c r="E7" i="8"/>
  <c r="F18" i="8"/>
  <c r="F24" i="8"/>
  <c r="C12" i="4"/>
  <c r="M2" i="4"/>
  <c r="D18" i="3"/>
  <c r="D24" i="3"/>
  <c r="D25" i="3"/>
  <c r="E24" i="3"/>
  <c r="E25" i="3"/>
  <c r="E33" i="3"/>
  <c r="G4" i="1"/>
  <c r="E3" i="3"/>
  <c r="E11" i="3"/>
  <c r="E12" i="3"/>
  <c r="E13" i="3"/>
  <c r="E14" i="3"/>
  <c r="E15" i="3"/>
  <c r="E4" i="3"/>
  <c r="E16" i="3"/>
  <c r="E5" i="3"/>
  <c r="E17" i="3"/>
  <c r="E6" i="3"/>
  <c r="E18" i="3"/>
  <c r="E19" i="3"/>
  <c r="E8" i="3"/>
  <c r="E20" i="3"/>
  <c r="E9" i="3"/>
  <c r="E22" i="3"/>
  <c r="E10" i="3"/>
  <c r="E26" i="3"/>
  <c r="E21" i="3"/>
  <c r="E23" i="3"/>
  <c r="E27" i="3"/>
  <c r="E28" i="3"/>
  <c r="E29" i="3"/>
  <c r="E30" i="3"/>
  <c r="E31" i="3"/>
  <c r="E32" i="3"/>
  <c r="D27" i="3"/>
  <c r="D31" i="3"/>
  <c r="D9" i="3"/>
  <c r="D33" i="3"/>
  <c r="D32" i="3"/>
  <c r="D17" i="3"/>
  <c r="D12" i="3"/>
  <c r="D7" i="3"/>
  <c r="D29" i="3"/>
  <c r="D3" i="3"/>
  <c r="D20" i="3"/>
  <c r="D30" i="3"/>
  <c r="D15" i="3"/>
  <c r="D28" i="3"/>
  <c r="D13" i="3"/>
  <c r="D21" i="3"/>
  <c r="D5" i="3"/>
  <c r="D19" i="3"/>
  <c r="J19" i="3" s="1"/>
  <c r="D10" i="3"/>
  <c r="J10" i="3" s="1"/>
  <c r="D6" i="3"/>
  <c r="D4" i="3"/>
  <c r="D11" i="3"/>
  <c r="D16" i="3"/>
  <c r="D23" i="3"/>
  <c r="D26" i="3"/>
  <c r="D14" i="3"/>
  <c r="D22" i="3"/>
  <c r="D8" i="3"/>
  <c r="J31" i="3" l="1"/>
  <c r="J11" i="3"/>
  <c r="H3" i="1"/>
  <c r="G3" i="1" s="1"/>
  <c r="J14" i="3"/>
  <c r="C14" i="5" s="1"/>
  <c r="E14" i="5" s="1"/>
  <c r="J17" i="3"/>
  <c r="C17" i="5" s="1"/>
  <c r="E17" i="5" s="1"/>
  <c r="J12" i="3"/>
  <c r="C12" i="5" s="1"/>
  <c r="E12" i="5" s="1"/>
  <c r="J29" i="3"/>
  <c r="J7" i="3"/>
  <c r="C7" i="5" s="1"/>
  <c r="E7" i="5" s="1"/>
  <c r="J5" i="3"/>
  <c r="C5" i="5" s="1"/>
  <c r="E5" i="5" s="1"/>
  <c r="J32" i="3"/>
  <c r="J8" i="3"/>
  <c r="C8" i="5" s="1"/>
  <c r="E8" i="5" s="1"/>
  <c r="J22" i="3"/>
  <c r="C22" i="5" s="1"/>
  <c r="E22" i="5" s="1"/>
  <c r="J13" i="3"/>
  <c r="C13" i="5" s="1"/>
  <c r="E13" i="5" s="1"/>
  <c r="J9" i="3"/>
  <c r="C9" i="5" s="1"/>
  <c r="E9" i="5" s="1"/>
  <c r="J33" i="3"/>
  <c r="J6" i="3"/>
  <c r="C6" i="5" s="1"/>
  <c r="E6" i="5" s="1"/>
  <c r="J18" i="3"/>
  <c r="C18" i="5" s="1"/>
  <c r="E18" i="5" s="1"/>
  <c r="J21" i="3"/>
  <c r="C21" i="5" s="1"/>
  <c r="J27" i="3"/>
  <c r="J30" i="3"/>
  <c r="J26" i="3"/>
  <c r="J16" i="3"/>
  <c r="C16" i="5" s="1"/>
  <c r="E16" i="5" s="1"/>
  <c r="J20" i="3"/>
  <c r="C20" i="5" s="1"/>
  <c r="E20" i="5" s="1"/>
  <c r="J28" i="3"/>
  <c r="C28" i="5" s="1"/>
  <c r="E28" i="5" s="1"/>
  <c r="J23" i="3"/>
  <c r="C23" i="5" s="1"/>
  <c r="E23" i="5" s="1"/>
  <c r="J3" i="3"/>
  <c r="C3" i="5" s="1"/>
  <c r="E3" i="5" s="1"/>
  <c r="J25" i="3"/>
  <c r="J15" i="3"/>
  <c r="C15" i="5" s="1"/>
  <c r="E15" i="5" s="1"/>
  <c r="J4" i="3"/>
  <c r="C4" i="5" s="1"/>
  <c r="E4" i="5" s="1"/>
  <c r="J24" i="3"/>
  <c r="C24" i="5" s="1"/>
  <c r="E24" i="5" s="1"/>
  <c r="J29" i="8"/>
  <c r="J10" i="8"/>
  <c r="J25" i="8"/>
  <c r="J20" i="8"/>
  <c r="J14" i="8"/>
  <c r="J13" i="8"/>
  <c r="J23" i="8"/>
  <c r="J15" i="8"/>
  <c r="J26" i="8"/>
  <c r="J30" i="8"/>
  <c r="J16" i="8"/>
  <c r="J24" i="8"/>
  <c r="J19" i="8"/>
  <c r="J18" i="8"/>
  <c r="J31" i="8"/>
  <c r="J5" i="8"/>
  <c r="J32" i="8"/>
  <c r="J8" i="8"/>
  <c r="J4" i="8"/>
  <c r="J21" i="8"/>
  <c r="J17" i="8"/>
  <c r="J6" i="8"/>
  <c r="J28" i="8"/>
  <c r="J33" i="8"/>
  <c r="J7" i="8"/>
  <c r="J9" i="8"/>
  <c r="J22" i="8"/>
  <c r="J3" i="8"/>
  <c r="J27" i="8"/>
  <c r="C19" i="5"/>
  <c r="E19" i="5" s="1"/>
  <c r="C10" i="5"/>
  <c r="E10" i="5" s="1"/>
  <c r="C11" i="5"/>
  <c r="E11" i="5" s="1"/>
  <c r="C30" i="5" l="1"/>
  <c r="E30" i="5" s="1"/>
  <c r="C27" i="5"/>
  <c r="E27" i="5" s="1"/>
  <c r="C29" i="5"/>
  <c r="E29" i="5" s="1"/>
  <c r="C26" i="5"/>
  <c r="E26" i="5" s="1"/>
  <c r="C31" i="5"/>
  <c r="E31" i="5" s="1"/>
  <c r="C25" i="5"/>
  <c r="E25" i="5" s="1"/>
  <c r="G7" i="1"/>
  <c r="G6" i="1"/>
  <c r="E21" i="5"/>
  <c r="H3" i="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Luciano Segundo</author>
    <author/>
  </authors>
  <commentList>
    <comment ref="D4" authorId="0" shapeId="0" xr:uid="{3A99E29A-D162-4EDB-8EF9-F183417F4371}">
      <text>
        <r>
          <rPr>
            <b/>
            <sz val="9"/>
            <color indexed="81"/>
            <rFont val="Segoe UI"/>
            <family val="2"/>
          </rPr>
          <t>Luciano Segundo:</t>
        </r>
        <r>
          <rPr>
            <sz val="9"/>
            <color indexed="81"/>
            <rFont val="Segoe UI"/>
            <family val="2"/>
          </rPr>
          <t xml:space="preserve">
Alquimista Iniciado - Você recebe um livro de
fórmulas e pode fabricar poções com fórmulas que
conheça de 1º e 2º círculos. Veja a página 327 para
as regras de poções. Pré-requisitos: Int 13, Sab 13,
treinado em Ofício (alquimia).</t>
        </r>
      </text>
    </comment>
    <comment ref="L4" authorId="1" shapeId="0" xr:uid="{4F49D06F-0C2E-42D7-8F86-86EE268D8F61}">
      <text>
        <r>
          <rPr>
            <sz val="10"/>
            <color rgb="FF000000"/>
            <rFont val="Aptos Narrow"/>
            <scheme val="minor"/>
          </rPr>
          <t>Seu deslocamento é 12m (em vez de 9m).</t>
        </r>
      </text>
    </comment>
    <comment ref="D5" authorId="0" shapeId="0" xr:uid="{BDC9C2C8-18AF-4706-8FCF-96804397FDE2}">
      <text>
        <r>
          <rPr>
            <b/>
            <sz val="9"/>
            <color indexed="81"/>
            <rFont val="Segoe UI"/>
            <family val="2"/>
          </rPr>
          <t>Luciano Segundo:</t>
        </r>
        <r>
          <rPr>
            <sz val="9"/>
            <color indexed="81"/>
            <rFont val="Segoe UI"/>
            <family val="2"/>
          </rPr>
          <t xml:space="preserve">
Aumento de Atributo. Você recebe +2 em um
atributo a sua escolha. Você pode escolher este poder
várias vezes. A partir da segunda vez que escolhê-lo
para o mesmo atributo, o aumento diminui para +1.</t>
        </r>
      </text>
    </comment>
    <comment ref="L5" authorId="1" shapeId="0" xr:uid="{68A071B1-F532-488C-B2E5-14539AA92071}">
      <text>
        <r>
          <rPr>
            <sz val="10"/>
            <color rgb="FF000000"/>
            <rFont val="Aptos Narrow"/>
            <scheme val="minor"/>
          </rPr>
          <t>Você
recebe visão na penumbra e +2 em
Misticismo e Percepção.</t>
        </r>
      </text>
    </comment>
    <comment ref="D6" authorId="0" shapeId="0" xr:uid="{E613364F-895B-49D7-9FFA-C41B5D68256D}">
      <text>
        <r>
          <rPr>
            <b/>
            <sz val="9"/>
            <color indexed="81"/>
            <rFont val="Segoe UI"/>
            <family val="2"/>
          </rPr>
          <t>Luciano Segundo:</t>
        </r>
        <r>
          <rPr>
            <sz val="9"/>
            <color indexed="81"/>
            <rFont val="Segoe UI"/>
            <family val="2"/>
          </rPr>
          <t xml:space="preserve">
Invenção Potente - Quando usa um item fabricado por você mesmo, você pode pagar 1 PM para
aumentar em +2 a CD para resistir a ele.</t>
        </r>
      </text>
    </comment>
    <comment ref="L6" authorId="1" shapeId="0" xr:uid="{1DD2C77F-8EE8-4DF8-AF88-998081BB5027}">
      <text>
        <r>
          <rPr>
            <sz val="10"/>
            <color rgb="FF000000"/>
            <rFont val="Aptos Narrow"/>
            <scheme val="minor"/>
          </rPr>
          <t xml:space="preserve">Você recebe
+1 ponto de mana por nível.
</t>
        </r>
      </text>
    </comment>
    <comment ref="D7" authorId="0" shapeId="0" xr:uid="{51E33F2C-1683-44A8-BD1F-0E56009D6B22}">
      <text>
        <r>
          <rPr>
            <b/>
            <sz val="9"/>
            <color indexed="81"/>
            <rFont val="Segoe UI"/>
            <family val="2"/>
          </rPr>
          <t>Luciano Segundo:</t>
        </r>
        <r>
          <rPr>
            <sz val="9"/>
            <color indexed="81"/>
            <rFont val="Segoe UI"/>
            <family val="2"/>
          </rPr>
          <t xml:space="preserve">
Síntese Rápida - Você fabrica itens alquímicos e
poções em uma categoria de tempo menor. Três meses viram um mês, um mês vira uma semana, uma
semana vira um dia e um dia vira uma hora (o tempo
mínimo). Pré-requisito: Alquimista Iniciado.</t>
        </r>
      </text>
    </comment>
    <comment ref="L7" authorId="0" shapeId="0" xr:uid="{1B485439-5A70-46ED-9E60-DF7CC941FDF3}">
      <text>
        <r>
          <rPr>
            <b/>
            <sz val="9"/>
            <color indexed="81"/>
            <rFont val="Segoe UI"/>
            <family val="2"/>
          </rPr>
          <t>Luciano Segundo:</t>
        </r>
        <r>
          <rPr>
            <sz val="9"/>
            <color indexed="81"/>
            <rFont val="Segoe UI"/>
            <family val="2"/>
          </rPr>
          <t xml:space="preserve">
Quando usa um veneno, você não corre risco de
se envenenar acidentalmente. Além disso, a CD para
resistir aos seus venenos aumenta em +2. Pré-requisito:
treinado em Ofício (alquimia).</t>
        </r>
      </text>
    </comment>
    <comment ref="D8" authorId="0" shapeId="0" xr:uid="{397F055B-7E0A-4355-A698-216E13333EAC}">
      <text>
        <r>
          <rPr>
            <b/>
            <sz val="9"/>
            <color indexed="81"/>
            <rFont val="Segoe UI"/>
            <family val="2"/>
          </rPr>
          <t>Luciano Segundo:</t>
        </r>
        <r>
          <rPr>
            <sz val="9"/>
            <color indexed="81"/>
            <rFont val="Segoe UI"/>
            <family val="2"/>
          </rPr>
          <t xml:space="preserve">
Engenhoqueiro - Você pode fabricar engenhocas.
Veja as regras para isso na página 70. Pré-requisitos:
Int 17, treinado em Ofício (engenhoqueiro).</t>
        </r>
      </text>
    </comment>
    <comment ref="L8" authorId="0" shapeId="0" xr:uid="{D8B5500E-CDB3-4503-BD54-0DC7D201636C}">
      <text>
        <r>
          <rPr>
            <b/>
            <sz val="9"/>
            <color indexed="81"/>
            <rFont val="Segoe UI"/>
            <family val="2"/>
          </rPr>
          <t>Luciano Segundo:</t>
        </r>
        <r>
          <rPr>
            <sz val="9"/>
            <color indexed="81"/>
            <rFont val="Segoe UI"/>
            <family val="2"/>
          </rPr>
          <t xml:space="preserve">
Poder Concedido (Tanna-Toh)
Você está sempre sob efeito de Compreensão (Universal I)
------------------------------------------------------------------------
Essa magia lhe confere compreensão
sobrenatural. Você pode tocar um texto e entender as palavras mesmo que
não conheça o idioma. Se tocar numa
criatura inteligente, pode se comunicar
com ela mesmo que não tenham um
idioma em comum. Se tocar uma criatura não inteligente, como um animal,
pode perceber seus sentimentos.
Você também pode gastar uma ação de
movimento para ouvir os pensamentos
de uma criatura tocada (você “ouve”
o que o alvo está pensando), mas um
alvo involuntário tem direito a um teste de Vontade para proteger seus pensamentos e evitar este efeito.</t>
        </r>
      </text>
    </comment>
    <comment ref="D9" authorId="0" shapeId="0" xr:uid="{A3AA87A4-0224-46B8-8837-6B711B76FB7E}">
      <text>
        <r>
          <rPr>
            <b/>
            <sz val="9"/>
            <color indexed="81"/>
            <rFont val="Segoe UI"/>
            <family val="2"/>
          </rPr>
          <t>Luciano Segundo:</t>
        </r>
        <r>
          <rPr>
            <sz val="9"/>
            <color indexed="81"/>
            <rFont val="Segoe UI"/>
            <family val="2"/>
          </rPr>
          <t xml:space="preserve">
Alquimista de Batalha. Quando usa um item
alquímico ou poção que cause dano, você soma seu
modificador de Inteligência na rolagem de dano.
Pré-requisito: Alquimista Iniciado.</t>
        </r>
      </text>
    </comment>
    <comment ref="D10" authorId="0" shapeId="0" xr:uid="{E990AA97-8908-4911-BCEF-9BFC7E74B12E}">
      <text>
        <r>
          <rPr>
            <b/>
            <sz val="9"/>
            <color indexed="81"/>
            <rFont val="Segoe UI"/>
            <family val="2"/>
          </rPr>
          <t>Luciano Segundo:</t>
        </r>
        <r>
          <rPr>
            <sz val="9"/>
            <color indexed="81"/>
            <rFont val="Segoe UI"/>
            <family val="2"/>
          </rPr>
          <t xml:space="preserve">
Armeiro. Você recebe proficiência com armas
marciais corpo a corpo. Quando usa uma arma corpo a corpo, pode usar seu modificador de Inteligência em
vez de Força nos testes de ataque e rolagens de dano.
Pré-requisitos: treinado em Luta e Ofício (armeiro).</t>
        </r>
      </text>
    </comment>
    <comment ref="D11" authorId="0" shapeId="0" xr:uid="{3F03A9A7-B672-4E54-B7AA-90E24B94C556}">
      <text>
        <r>
          <rPr>
            <b/>
            <sz val="9"/>
            <color indexed="81"/>
            <rFont val="Segoe UI"/>
            <family val="2"/>
          </rPr>
          <t>Luciano Segundo:</t>
        </r>
        <r>
          <rPr>
            <sz val="9"/>
            <color indexed="81"/>
            <rFont val="Segoe UI"/>
            <family val="2"/>
          </rPr>
          <t xml:space="preserve">
Granadeiro. Você pode arremessar itens alquímicos e poções em alcance médio. Você pode usar
seu modificador de Inteligência em vez de Destreza
para calcular a CD do teste de resistência desses
itens. Pré-requisito: Alquimista de Batalha.</t>
        </r>
      </text>
    </comment>
    <comment ref="D12" authorId="0" shapeId="0" xr:uid="{69B20ABB-BAE3-4D28-B6C7-DC81002EE566}">
      <text>
        <r>
          <rPr>
            <b/>
            <sz val="9"/>
            <color indexed="81"/>
            <rFont val="Segoe UI"/>
            <family val="2"/>
          </rPr>
          <t>Luciano Segundo:</t>
        </r>
        <r>
          <rPr>
            <sz val="9"/>
            <color indexed="81"/>
            <rFont val="Segoe UI"/>
            <family val="2"/>
          </rPr>
          <t xml:space="preserve">
Mestre Alquimista. Você pode fabricar poções
com fórmulas que conheça de qualquer círculo.
Pré-requisitos: Int 17, Sab 17, Alquimista Iniciado, 10º
nível de inventor.</t>
        </r>
      </text>
    </comment>
    <comment ref="D13" authorId="0" shapeId="0" xr:uid="{DF043448-9BC7-495F-AC89-998B519247B3}">
      <text>
        <r>
          <rPr>
            <b/>
            <sz val="9"/>
            <color indexed="81"/>
            <rFont val="Segoe UI"/>
            <family val="2"/>
          </rPr>
          <t>Luciano Segundo:</t>
        </r>
        <r>
          <rPr>
            <sz val="9"/>
            <color indexed="81"/>
            <rFont val="Segoe UI"/>
            <family val="2"/>
          </rPr>
          <t xml:space="preserve">
Você soma seu modificador do atributo-chave
no limite de PM que pode gastar numa magia. Por
exemplo, um mago de 5º nível com Int 18 (+4) e
este poder pode gastar até 9 PM em cada magia.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Luciano Segundo</author>
  </authors>
  <commentList>
    <comment ref="B3" authorId="0" shapeId="0" xr:uid="{679B63F6-E8B2-4C2C-A6E6-8D761BEE7A2A}">
      <text>
        <r>
          <rPr>
            <b/>
            <sz val="9"/>
            <color indexed="81"/>
            <rFont val="Segoe UI"/>
            <family val="2"/>
          </rPr>
          <t>Luciano Segundo:</t>
        </r>
        <r>
          <rPr>
            <sz val="9"/>
            <color indexed="81"/>
            <rFont val="Segoe UI"/>
            <family val="2"/>
          </rPr>
          <t xml:space="preserve">
Execução: padrão; Alcance: toque;
Alvo: 1 criatura; Duração: instantânea.
Você canaliza energia positiva que recupera 2d8+2 pontos de vida na criatura tocada. Como mortos-vivos usam
energia negativa, esta magia causa dano
de luz a eles (Vontade reduz à metade).
Curar Ferimentos anula Infligir Ferimentos.
Truque: em vez do normal, estabiliza
uma criatura.
Truque: muda o alvo para 1 morto-vivo. Em vez do normal, causa 1d8
pontos de dano de luz (Vontade reduz
à metade).
+1 PM: aumenta a cura em +1d8+1.
+2 PM: também remove uma condição de fadiga do alvo.
+2 PM: muda o alcance para curto.
+5 PM: muda o alcance para curto e o alvo para criaturas escolhidas.</t>
        </r>
      </text>
    </comment>
    <comment ref="B4" authorId="0" shapeId="0" xr:uid="{CAFBBFDC-FBD3-456F-A70E-6B0909D1D0BB}">
      <text>
        <r>
          <rPr>
            <b/>
            <sz val="9"/>
            <color indexed="81"/>
            <rFont val="Segoe UI"/>
            <family val="2"/>
          </rPr>
          <t>Luciano Segundo:</t>
        </r>
        <r>
          <rPr>
            <sz val="9"/>
            <color indexed="81"/>
            <rFont val="Segoe UI"/>
            <family val="2"/>
          </rPr>
          <t xml:space="preserve">
Execução: padrão; Alcance: longo;
Área: esfera com 9m de raio; Duração: 1 dia.
Esta magia enche a área com energia
positiva. Efeitos de luz que curam pontos de vida ou canalizam energia positiva têm seus efeitos maximizados.
Por exemplo, Curar Ferimentos cura automaticamente 18 PV em alvos dentro
da área. Esta magia não pode ser lançada em uma área contendo um símbolo
visível dedicado a uma divindade que
não a sua. Consagrar anula Profanar.
+1 PM: além do normal, mortos-vivos
na área sofrem –2 em testes e Defesa.
+2 PM: aumenta as penalidades para
mortos-vivos em –1.
+9 PM: muda a execução para 1 hora,
a duração para permanente e adiciona
componente material (incenso e óleos
no valor de T$ 1.000). Requer 4º círculo.</t>
        </r>
      </text>
    </comment>
    <comment ref="B5" authorId="0" shapeId="0" xr:uid="{6532C4FC-1848-40F0-8B07-4CE88A52187C}">
      <text>
        <r>
          <rPr>
            <b/>
            <sz val="9"/>
            <color indexed="81"/>
            <rFont val="Segoe UI"/>
            <family val="2"/>
          </rPr>
          <t>Luciano Segundo:</t>
        </r>
        <r>
          <rPr>
            <sz val="9"/>
            <color indexed="81"/>
            <rFont val="Segoe UI"/>
            <family val="2"/>
          </rPr>
          <t xml:space="preserve">
Execução: padrão; Alcance: pessoal;
Alvo: você; Duração: cena.
Três cópias ilusórias suas aparecem.
As duplicatas ficam ao seu redor e imitam suas ações, tornando difícil para
um inimigo saber quem atacar. Você recebe +6 na Defesa. Cada vez que um ataque contra você erra, uma das imagens desaparece e o bônus na Defesa diminui em 2. Um oponente deve
ver as cópias para ser confundido. Se você estiver invisível, ou o atacante fechar os olhos, você não recebe o bônus
(mas o atacante ainda sofre penalidades normais por não enxergar).
+2 PM: aumenta o número de cópias
em +1 (e o bônus na Defesa em +2).
+2 PM: além do normal, toda vez que
uma cópia é destruída, emite um clarão de luz. A criatura que destruiu a
cópia fica ofuscada por uma rodada.
Requer 2º círculo.</t>
        </r>
      </text>
    </comment>
    <comment ref="B6" authorId="0" shapeId="0" xr:uid="{630B2CC5-019E-4AFD-85CD-BC144B9EF981}">
      <text>
        <r>
          <rPr>
            <b/>
            <sz val="9"/>
            <color indexed="81"/>
            <rFont val="Segoe UI"/>
            <family val="2"/>
          </rPr>
          <t>Luciano Segundo:</t>
        </r>
        <r>
          <rPr>
            <sz val="9"/>
            <color indexed="81"/>
            <rFont val="Segoe UI"/>
            <family val="2"/>
          </rPr>
          <t xml:space="preserve">
Execução: padrão; Alcance: curto; Alvo:
1 criatura de ND 2 ou menor; Duração:
cena; Resistência: Vontade parcial.
Um sono místico recai sobre o alvo. Se
passar na resistência, fica fatigado por
uma rodada. Se falhar, fica inconsciente e caído.
+2 PM: muda o alvo para área de quadrado com 3m de lado. Todas as criaturas na área dentro do limite de ND
são afetadas.
+2 PM: afeta alvos de ND 5 ou menor.
Requer 2º círculo.
+5 PM: afeta alvos de ND 10 ou menor.
Requer 3º círculo.
+5 PM: muda o alvo para criaturas escolhidas. Todas as criaturas no alcance
dentro do limite de ND são afetadas.
+9 PM: afeta alvos de ND 15 ou menor.
Requer 4º círculo.
+14 PM: afeta alvos de qualquer ND.
Requer 5º círculo.</t>
        </r>
      </text>
    </comment>
    <comment ref="B7" authorId="0" shapeId="0" xr:uid="{48A04260-F486-4B36-A7E6-5A3042A8D465}">
      <text>
        <r>
          <rPr>
            <b/>
            <sz val="9"/>
            <color indexed="81"/>
            <rFont val="Segoe UI"/>
            <family val="2"/>
          </rPr>
          <t>Luciano Segundo:</t>
        </r>
        <r>
          <rPr>
            <sz val="9"/>
            <color indexed="81"/>
            <rFont val="Segoe UI"/>
            <family val="2"/>
          </rPr>
          <t xml:space="preserve">
Execução: padrão; Alcance: curto;
Área: cubo com 6m de lado; Duração: cena; Resistência: Reflexos anula.
Teia cria várias camadas de fibras entrelaçadas e pegajosas na área. Qualquer
criatura na área que falhar na resistência fica enredada. Uma vítima pode se libertar com uma ação padrão e um
teste de Acrobacia ou Atletismo. A
área ocupada por Teia é terreno difícil.
A Teia é inflamável. Qualquer ataque
que cause dano de fogo destrói as teias
por onde passar, libertando as criaturas
enredadas mas deixando-as em chamas
(veja Condições, no Apêndice).
+1 PM: além do normal, criaturas que
falhem na resistência também ficam
imóveis.
+2 PM: além do normal, no início de
seus turnos a magia afeta novamente qualquer criatura na área, exigindo
um novo teste de Reflexos. Requer 2º
círculo.
+2 PM: aumenta a área em +1 cubo
de 1,5m.</t>
        </r>
      </text>
    </comment>
    <comment ref="B8" authorId="0" shapeId="0" xr:uid="{2F182E4E-EF73-461E-A5F0-F8BAFDDB2354}">
      <text>
        <r>
          <rPr>
            <b/>
            <sz val="9"/>
            <color indexed="81"/>
            <rFont val="Segoe UI"/>
            <family val="2"/>
          </rPr>
          <t>Luciano Segundo:</t>
        </r>
        <r>
          <rPr>
            <sz val="9"/>
            <color indexed="81"/>
            <rFont val="Segoe UI"/>
            <family val="2"/>
          </rPr>
          <t xml:space="preserve">
Execução: padrão; Alcance: toque;
Alvo: matéria-prima, como madeira,
rochas, ossos; Duração: cena.
A magia transforma matéria bruta para
moldar um novo objeto. Você pode
usar matéria-prima mundana para
criar um objeto de tamanho Pequeno
ou menor e preço máximo de T$ 25,
como um balde ou uma espada. O objeto reverte à matéria-prima no final da
cena, ou se for tocado por um objeto
feito de chumbo. Esta magia não pode
ser usada para criar objetos consumíveis, como alimentos, itens alquímicos ou venenos, nem objetos com mecanismos complexos, como bestas ou
armas de fogo. Transmutar Objetos anula Despedaçar.
Truque: muda o alvo para 1 objeto
mundano e a duração para instantânea. Em vez do normal, você pode alterar as propriedades físicas do objeto, como colorir, limpar ou sujar itens
pequenos (incluindo peças de roupa), aquecer, esfriar e/ou temperar
(mas não produzir) até 0,5kg de material inanimado (incluindo comida),
ou curar 1 PV do objeto, consertando
pequenas falhas como colar um frasco
de cerâmica quebrado, unir os elos de
uma corrente ou costurar uma roupa
rasgada. Um objeto só pode ser afetado por este truque uma vez por dia.
+2 PM: aumenta o limite de tamanho
do objeto em uma categoria.
+1 PM: aumenta o preço máximo do
objeto criado em + T$ 25.
+1 PM: muda o alcance para toque, o
alvo para 1 construto e a duração para
instantânea. Em vez do normal, cura
2d8 PV do alvo. Você pode gastar 2 PM
adicionais para aumentar a cura em
+1d8.
+5 PM: muda o alvo para 1 objeto
mundano e a duração para instantânea. Em vez do normal, você cura todos os PV do alvo, restaurando o objeto totalmente. Este aprimoramento
está sujeito aos limites de tamanho e
preço do objeto conforme a magia original e não funciona se o objeto tiver
sido completamente destruído (queimado até virar cinzas ou desintegrado,
por exemplo). Requer 3º círculo.
+9 PM: como o aprimoramento anterior, mas passa a afetar itens mágicos.</t>
        </r>
      </text>
    </comment>
    <comment ref="B9" authorId="0" shapeId="0" xr:uid="{B4EBC950-743C-40BE-B79B-C073ED785DC5}">
      <text>
        <r>
          <rPr>
            <b/>
            <sz val="9"/>
            <color indexed="81"/>
            <rFont val="Segoe UI"/>
            <family val="2"/>
          </rPr>
          <t>Luciano Segundo:</t>
        </r>
        <r>
          <rPr>
            <sz val="9"/>
            <color indexed="81"/>
            <rFont val="Segoe UI"/>
            <family val="2"/>
          </rPr>
          <t xml:space="preserve">
Execução: padrão; Alcance: toque;
Alvo: 1 criatura; Duração: instantânea; Resistência: Fortitude reduz à
metade.
Arcos elétricos envolvem sua mão,
causando 2d8+2 pontos de dano de
eletricidade. Se o alvo usa armadura de
metal (ou carrega muito metal, a critério do mestre), sofre uma penalidade
de –5 no teste de resistência.
+1 PM: aumenta o dano em 1d8+1.
+2 PM: como parte da execução da
magia, você faz um ataque corpo a corpo contra o alvo. Se acertar, causa o
dano do ataque e da magia.
+2 PM: muda o alcance para pessoal
e o alvo para área: explosão com 6m
de raio. Você dispara raios pelas pontas dos dedos que afetam todas as criaturas na área.</t>
        </r>
      </text>
    </comment>
    <comment ref="B10" authorId="0" shapeId="0" xr:uid="{E9C48AA7-38CE-4887-8CB2-BECD82571F58}">
      <text>
        <r>
          <rPr>
            <b/>
            <sz val="9"/>
            <color indexed="81"/>
            <rFont val="Segoe UI"/>
            <family val="2"/>
          </rPr>
          <t>Luciano Segundo:</t>
        </r>
        <r>
          <rPr>
            <sz val="9"/>
            <color indexed="81"/>
            <rFont val="Segoe UI"/>
            <family val="2"/>
          </rPr>
          <t xml:space="preserve">
Execução: padrão; Alcance: curto;
Alvo: 1 animal ou humanoide; Duração: cena; Resistência: Vontade parcial.
Você emana ondas de serenidade. Se
falhar na resistência, o alvo tem sua
atitude mudada para indiferente (veja
Diplomacia no Capítulo 2) e não
pode atacar ou realizar qualquer ação
agressiva. Se passar, sofre –2 em testes
de ataque. Qualquer ação hostil contra
o alvo ou seus aliados dissipa a magia e
faz ele retornar à atitude que tinha antes (ou pior, de acordo com o mestre).
+1 PM: muda o alvo para 1 criatura.
+1 PM: aumenta o número de alvos
em +1.
+2 PM: aumenta a penalidade em –1.
+5 PM: muda o alcance para médio e o
alvo para criaturas escolhidas. Requer
3º círculo.</t>
        </r>
      </text>
    </comment>
    <comment ref="B11" authorId="0" shapeId="0" xr:uid="{19EA0BA7-62D7-4F00-BFA9-2903613BA483}">
      <text>
        <r>
          <rPr>
            <b/>
            <sz val="9"/>
            <color indexed="81"/>
            <rFont val="Segoe UI"/>
            <family val="2"/>
          </rPr>
          <t>Luciano Segundo:</t>
        </r>
        <r>
          <rPr>
            <sz val="9"/>
            <color indexed="81"/>
            <rFont val="Segoe UI"/>
            <family val="2"/>
          </rPr>
          <t xml:space="preserve">
Execução: padrão; Alcance: médio;
Alvo: 1 criatura; Duração: instantânea; Resistência: Fortitude reduz à
metade.
Esta magia cria um crânio humano envolto em energia negativa, que causa
4d8+4 pontos de dano de trevas quando atinge o alvo e se desfaz emitindo um som horrendo, podendo deixar
abalados todos os inimigos num raio
de 3m. Passar no teste de resistência
diminui o dano pela metade e evita a
condição abalado. Alvos que já estiverem abalados e falharem no teste ficam
apavorados por 1d4 rodadas.
+1 PM: aumenta o dano em +1d8+1.
+2 PM: aumenta o número de alvos
em +1.</t>
        </r>
      </text>
    </comment>
    <comment ref="B12" authorId="0" shapeId="0" xr:uid="{9A25913D-0202-4A55-8D9F-36852695EAD2}">
      <text>
        <r>
          <rPr>
            <b/>
            <sz val="9"/>
            <color indexed="81"/>
            <rFont val="Segoe UI"/>
            <family val="2"/>
          </rPr>
          <t>Luciano Segundo:</t>
        </r>
        <r>
          <rPr>
            <sz val="9"/>
            <color indexed="81"/>
            <rFont val="Segoe UI"/>
            <family val="2"/>
          </rPr>
          <t xml:space="preserve">
Execução: livre; Alcance: pessoal;
Alvo: você; Duração: 1 rodada.
Você amplia sua percepção, antecipando movimentos dos inimigos e achando brechas em sua defesa. Quando faz
um ataque, você rola dois dados e usa
o melhor resultado.
+2 PM: muda a execução para padrão e
a duração para cena. Requer 2º círculo.
+5 PM: além do normal, ao atacar
você, um inimigo deve rolar dois dados e usar o pior resultado. Requer 3º
círculo.
+9 PM: muda a execução para padrão, o alcance para curto, o alvo para
criaturas escolhidas e a duração para
cena. Requer 4º círculo.
+14 PM: muda a execução para padrão e a duração para 1 dia. Além do
normal, você recebe um sexto sentido que o avisa de qualquer perigo ou
ameaça. Você fica imune às condições
surpreendido e desprevenido e recebe
+10 em Defesa e Reflexos. Requer 5º
círculo.</t>
        </r>
      </text>
    </comment>
    <comment ref="B13" authorId="0" shapeId="0" xr:uid="{5913D801-8BAE-4B13-B5F4-5400F8E5330C}">
      <text>
        <r>
          <rPr>
            <b/>
            <sz val="9"/>
            <color indexed="81"/>
            <rFont val="Segoe UI"/>
            <family val="2"/>
          </rPr>
          <t>Luciano Segundo:</t>
        </r>
        <r>
          <rPr>
            <sz val="9"/>
            <color indexed="81"/>
            <rFont val="Segoe UI"/>
            <family val="2"/>
          </rPr>
          <t xml:space="preserve">
Execução: padrão; Alcance: médio;
Alvo: 1 objeto de madeira Grande ou
menor; Duração: cena.
Você molda, retorce, altera ou repele madeira. Ao lançar a magia, escolha.
Fortalecer: deixa o alvo mais resistente.
Armas têm seu dano aumentado em
um passo. Escudos têm seu bônus de
Defesa aumentado em +2. Além disso, esses e outros itens de madeira recebem +5 na RD e dobram seus PV.
Modelar: muda a forma do alvo. Pode
transformar um galho em espada,
criar uma porta onde antes havia apenas uma parede, transformar um tronco em uma caixa... Mas não pode criar
mecanismos complexos (como uma
besta) ou itens consumíveis.
Repelir: o alvo é repelido por você. Se
for uma arma, ataques feitos com ela
contra você falham automaticamente.
Se for uma porta ou outro objeto que
possa ser aberto, ele vai se abrir quando você se aproximar, mesmo que esteja trancado. Uma carroça ou outro objeto que vá atingi-lo, como um tronco
caindo ou barril, vai desviar ou simplesmente parar adjacente a você, sem lhe
causar dano. Os efeitos de regras em
outros objetos de madeira ficam a cargo do mestre.
Retorcer: torna o alvo imprestável. Uma
porta retorcida emperra (exigindo um
teste de Força contra CD 25 para ser
aberta). Armas e itens retorcidos impõem uma penalidade de –5 em testes
de perícia. Escudos retorcidos deixam
de oferecer qualquer bônus (mas ainda impõem penalidades). Um barco retorcido começa a afundar e naufraga ao
final da cena. Os efeitos de regras em
outros objetos de madeira ficam a cargo do mestre.
+1 PM: muda o alcance para pessoal,
o alvo para você e a duração para 1
dia. Você e seu equipamento se transformam em uma árvore de tamanho
Grande. Nessa forma, você não pode
falar ou fazer ações físicas, mas consegue perceber seus arredores normalmente. Se for atacado nessa forma, a
magia é dissipada. Um teste de Sobrevivência (CD 30) revela que você não é
uma árvore verdadeira.
+3 PM: muda o alvo para área de quadrado com 9m de lado e a duração para
cena. Em vez do normal, qualquer
vegetação na área fica rígida e afiada. A área é considerada terreno difícil e criaturas que andem nela sofrem
1d6 pontos de dano de corte para cada
1,5m que avancem.
+7 PM: muda o alvo para objeto de
madeira Enorme ou menor. Requer 3º
círculo.
+12 PM: muda o alvo para objeto de
madeira Colossal ou menor. Requer 4º
círculo.</t>
        </r>
      </text>
    </comment>
    <comment ref="B14" authorId="0" shapeId="0" xr:uid="{3FBB2DD2-0AF8-4F81-BFFB-D2AB205C5E55}">
      <text>
        <r>
          <rPr>
            <b/>
            <sz val="9"/>
            <color indexed="81"/>
            <rFont val="Segoe UI"/>
            <family val="2"/>
          </rPr>
          <t>Luciano Segundo:</t>
        </r>
        <r>
          <rPr>
            <sz val="9"/>
            <color indexed="81"/>
            <rFont val="Segoe UI"/>
            <family val="2"/>
          </rPr>
          <t xml:space="preserve">
Execução: completa; Alcance: médio;
Efeito: 1 enxame Médio (quadrado de
1,5m); Duração: sustentada. Resistência: Fortitude reduz à metade.
Você conjura um enxame de criaturas a sua escolha, como besouros, gafanhotos, mosquitos, ratos, morcegos
ou serpentes, que surge em um ponto
a sua escolha. O enxame pode passar
pelo espaço de outras criaturas e não
impede que outras criaturas entrem
no espaço dele. No final de cada um
de seus turnos, o enxame causa 2d12
pontos de dano de veneno a qualquer
criatura em seu espaço (Fortitude reduz à metade). Você pode gastar uma
ação de movimento para mover o enxame com deslocamento de 12m.
+2 PM: aumenta o dano em +1d12.
+3 PM: muda a resistência para Reflexos reduz à metade e o enxame para
criaturas maiores, como gatos, guaxinins, compsognatos ou kobolds. Ele
causa 3d12 pontos de dano (a sua escolha entre corte, impacto ou perfuração). O resto da magia segue normal.
+5 PM: aumenta o número de enxames em +1. Eles não podem ocupar o
mesmo espaço. Requer 3º círculo.
+7 PM: muda a resistência para Reflexos reduz à metade e o enxame para
criaturas elementais. Ele causa 5d12
pontos do dano (a sua escolha entre
ácido, eletricidade, fogo ou frio). O
resto da magia segue normal. Requer
4º círculo.</t>
        </r>
      </text>
    </comment>
    <comment ref="B15" authorId="0" shapeId="0" xr:uid="{E20B3407-903A-42DD-AD73-5014FCD030CB}">
      <text>
        <r>
          <rPr>
            <b/>
            <sz val="9"/>
            <color indexed="81"/>
            <rFont val="Segoe UI"/>
            <family val="2"/>
          </rPr>
          <t>Luciano Segundo:</t>
        </r>
        <r>
          <rPr>
            <sz val="9"/>
            <color indexed="81"/>
            <rFont val="Segoe UI"/>
            <family val="2"/>
          </rPr>
          <t xml:space="preserve">
Execução: padrão; Alcance: curto;
Alvo: 1 criatura; Duração: cena.
O alvo pode realizar uma ação padrão
ou de movimento adicional por turno.
Esta ação não pode ser usada para lançar magias e ativar engenhocas.
+7 PM: muda o alvo para criaturas escolhidas no alcance. Requer 4º círculo.
+7 PM: muda o alcance para pessoal e o alvo para você. Você acelera sua mente, além de seu corpo. A ação adicional pode ser usada para lançar magias
e ativar engenhocas. Requer 4º círculo.</t>
        </r>
      </text>
    </comment>
    <comment ref="B16" authorId="0" shapeId="0" xr:uid="{79B27005-A674-4A5E-BB82-4832DEFC7400}">
      <text>
        <r>
          <rPr>
            <b/>
            <sz val="9"/>
            <color indexed="81"/>
            <rFont val="Segoe UI"/>
            <family val="2"/>
          </rPr>
          <t>Luciano Segundo:</t>
        </r>
        <r>
          <rPr>
            <sz val="9"/>
            <color indexed="81"/>
            <rFont val="Segoe UI"/>
            <family val="2"/>
          </rPr>
          <t xml:space="preserve">
Execução: padrão; Alcance: pessoal;
Alvo: você; Duração: sustentada.
Você se torna uma máquina de combate, ficando mais forte, rápido e resistente. Você recebe +6 na Defesa, testes de ataque e rolagens de dano corpo
a corpo, e 30 PV temporários. Durante
a Transformação de Guerra você não pode
lançar magias, mas se torna proficiente
em todas as armas.
+2 PM: aumenta os bônus na Defesa, testes de ataque e rolagens de dano
corpo a corpo em +1, e os PV temporários em +10.
+2 PM: adiciona componente material (uma barra de adamante no valor de T$ 100). Sua forma de combate
ganha um aspecto metálico e sem expressões. Além do normal, você recebe resistência a dano 10 e imunidade a
atordoamento, doenças, encantamento, fadiga, paralisia, necromancia, sangramento, sono e veneno, e não precisa respirar.</t>
        </r>
      </text>
    </comment>
  </commentList>
</comments>
</file>

<file path=xl/sharedStrings.xml><?xml version="1.0" encoding="utf-8"?>
<sst xmlns="http://schemas.openxmlformats.org/spreadsheetml/2006/main" count="551" uniqueCount="183">
  <si>
    <t>Atributos</t>
  </si>
  <si>
    <t>HP</t>
  </si>
  <si>
    <t>PM</t>
  </si>
  <si>
    <t>FOR</t>
  </si>
  <si>
    <t>DES</t>
  </si>
  <si>
    <t>INT</t>
  </si>
  <si>
    <t>SAB</t>
  </si>
  <si>
    <t>CAR</t>
  </si>
  <si>
    <t>MOD</t>
  </si>
  <si>
    <t>Nível</t>
  </si>
  <si>
    <t>DEF</t>
  </si>
  <si>
    <t>Procentagem</t>
  </si>
  <si>
    <t>CON</t>
  </si>
  <si>
    <t>Equipamento</t>
  </si>
  <si>
    <t>Armadura de Couro</t>
  </si>
  <si>
    <t>Armaduras</t>
  </si>
  <si>
    <t>Item</t>
  </si>
  <si>
    <t>Bônus</t>
  </si>
  <si>
    <t>Penalidade</t>
  </si>
  <si>
    <t>Peso</t>
  </si>
  <si>
    <t>7kg</t>
  </si>
  <si>
    <t>Armadura</t>
  </si>
  <si>
    <t>Arma</t>
  </si>
  <si>
    <t>Dano</t>
  </si>
  <si>
    <t>Especial</t>
  </si>
  <si>
    <t>Armas</t>
  </si>
  <si>
    <t>Crítico</t>
  </si>
  <si>
    <t>Ataque Desarmado</t>
  </si>
  <si>
    <t>Perícia</t>
  </si>
  <si>
    <t>Treinada?</t>
  </si>
  <si>
    <t>Total</t>
  </si>
  <si>
    <t>1/2 Nível</t>
  </si>
  <si>
    <t>Poderes</t>
  </si>
  <si>
    <t>Nível 1</t>
  </si>
  <si>
    <t>Nível 2</t>
  </si>
  <si>
    <t>Nível 3</t>
  </si>
  <si>
    <t>Nível 4</t>
  </si>
  <si>
    <t>Nível 5</t>
  </si>
  <si>
    <t>Nível 6</t>
  </si>
  <si>
    <t>Nível 7</t>
  </si>
  <si>
    <t>Nível 8</t>
  </si>
  <si>
    <t>Nível 9</t>
  </si>
  <si>
    <t>Nível 10</t>
  </si>
  <si>
    <t>Somente Treinada?</t>
  </si>
  <si>
    <t>Penalidade de Armadura?</t>
  </si>
  <si>
    <t>Acrobacia</t>
  </si>
  <si>
    <t>Des</t>
  </si>
  <si>
    <t>—</t>
  </si>
  <si>
    <t>sim</t>
  </si>
  <si>
    <t>Adestramento</t>
  </si>
  <si>
    <t>Car</t>
  </si>
  <si>
    <t>Atletismo</t>
  </si>
  <si>
    <t>For</t>
  </si>
  <si>
    <t>Atuação</t>
  </si>
  <si>
    <t>Cavalgar</t>
  </si>
  <si>
    <t>Conhecimento</t>
  </si>
  <si>
    <t>Int</t>
  </si>
  <si>
    <t>Cura</t>
  </si>
  <si>
    <t>Sab</t>
  </si>
  <si>
    <t>Diplomacia</t>
  </si>
  <si>
    <t>Enganação</t>
  </si>
  <si>
    <t>Fortitude</t>
  </si>
  <si>
    <t>Con</t>
  </si>
  <si>
    <t>Furtividade</t>
  </si>
  <si>
    <t>Guerra</t>
  </si>
  <si>
    <t>Iniciativa</t>
  </si>
  <si>
    <t>Intimidação</t>
  </si>
  <si>
    <t>Intuição</t>
  </si>
  <si>
    <t>Investigação</t>
  </si>
  <si>
    <t>Jogatina</t>
  </si>
  <si>
    <t>Ladinagem</t>
  </si>
  <si>
    <t>Luta</t>
  </si>
  <si>
    <t>Misticismo</t>
  </si>
  <si>
    <t>Nobreza</t>
  </si>
  <si>
    <t>Percepção</t>
  </si>
  <si>
    <t>Pilotagem</t>
  </si>
  <si>
    <t>Pontaria</t>
  </si>
  <si>
    <t>Reflexos</t>
  </si>
  <si>
    <t>Religião</t>
  </si>
  <si>
    <t>Sobrevivência</t>
  </si>
  <si>
    <t>Vontade</t>
  </si>
  <si>
    <t>ATR</t>
  </si>
  <si>
    <t>Treino</t>
  </si>
  <si>
    <t>Bônus Treino</t>
  </si>
  <si>
    <t>Nível 15</t>
  </si>
  <si>
    <t>Nível 11</t>
  </si>
  <si>
    <t>Nível 12</t>
  </si>
  <si>
    <t>Nível 13</t>
  </si>
  <si>
    <t>Nível 14</t>
  </si>
  <si>
    <t>Nível 16</t>
  </si>
  <si>
    <t>Nível 17</t>
  </si>
  <si>
    <t>Nível 18</t>
  </si>
  <si>
    <t>Nível 19</t>
  </si>
  <si>
    <t>Nível 20</t>
  </si>
  <si>
    <t>Grana</t>
  </si>
  <si>
    <t>EXP</t>
  </si>
  <si>
    <t>Velocidade</t>
  </si>
  <si>
    <t>Raça</t>
  </si>
  <si>
    <t>Turnos</t>
  </si>
  <si>
    <t>Descrição</t>
  </si>
  <si>
    <t>Ações</t>
  </si>
  <si>
    <t>Status Anteriores</t>
  </si>
  <si>
    <t>Nível de Personagem</t>
  </si>
  <si>
    <t>Pontos de Experiência</t>
  </si>
  <si>
    <t>Bônus em Perícias</t>
  </si>
  <si>
    <t>Teste</t>
  </si>
  <si>
    <t>D20</t>
  </si>
  <si>
    <t>Block</t>
  </si>
  <si>
    <t>Contra-ataque</t>
  </si>
  <si>
    <t>Bônus Habilidade</t>
  </si>
  <si>
    <t>ATR Base</t>
  </si>
  <si>
    <t>ATR Alterações</t>
  </si>
  <si>
    <t>1d4</t>
  </si>
  <si>
    <t>x2</t>
  </si>
  <si>
    <t>Ofício (Engenhoqueiro)</t>
  </si>
  <si>
    <t>Ofício (Alquimista)</t>
  </si>
  <si>
    <t>Ofício (Armeiro)</t>
  </si>
  <si>
    <t>Mana P/nv</t>
  </si>
  <si>
    <t>PV classe</t>
  </si>
  <si>
    <t>PM classe</t>
  </si>
  <si>
    <t>PM raça</t>
  </si>
  <si>
    <t>PV P/nv</t>
  </si>
  <si>
    <t>não</t>
  </si>
  <si>
    <t>Itens</t>
  </si>
  <si>
    <t>Voz da Civilização</t>
  </si>
  <si>
    <t>Alquimista iniciado</t>
  </si>
  <si>
    <t>Síntese Rápida</t>
  </si>
  <si>
    <t>Engenhoqueiro</t>
  </si>
  <si>
    <t>Invenção Potente</t>
  </si>
  <si>
    <t>Armeiro</t>
  </si>
  <si>
    <t>Mestre Alquimista</t>
  </si>
  <si>
    <t>PI</t>
  </si>
  <si>
    <t>Engenhosidade, protótipo</t>
  </si>
  <si>
    <t>Magia</t>
  </si>
  <si>
    <t>Círculo</t>
  </si>
  <si>
    <t>Custo</t>
  </si>
  <si>
    <t>Custo Círculo</t>
  </si>
  <si>
    <t>Curar Ferimentos</t>
  </si>
  <si>
    <t>Tipo</t>
  </si>
  <si>
    <t>Divina</t>
  </si>
  <si>
    <t>Consagrar</t>
  </si>
  <si>
    <t>Imagem Espelhada</t>
  </si>
  <si>
    <t>Arcana</t>
  </si>
  <si>
    <t>Sono</t>
  </si>
  <si>
    <t>Teia</t>
  </si>
  <si>
    <t>Transmutar Objetos</t>
  </si>
  <si>
    <t>Toque Chocante</t>
  </si>
  <si>
    <t>Tranquilidade</t>
  </si>
  <si>
    <t>Crânio voador de Vladislav</t>
  </si>
  <si>
    <t>Concentração</t>
  </si>
  <si>
    <t>Controlar Madeira</t>
  </si>
  <si>
    <t>Enxame de Pesteste</t>
  </si>
  <si>
    <t>Aracana</t>
  </si>
  <si>
    <t>Transformação de Guerra</t>
  </si>
  <si>
    <t>Alquimista de Batalha</t>
  </si>
  <si>
    <t>Granadeiro</t>
  </si>
  <si>
    <t>Aumento de Atributo</t>
  </si>
  <si>
    <t>Bônus Raça</t>
  </si>
  <si>
    <t>Aumento ATR</t>
  </si>
  <si>
    <t>Origem</t>
  </si>
  <si>
    <t>Divindade</t>
  </si>
  <si>
    <t>Poder</t>
  </si>
  <si>
    <t>Graça de Glorien</t>
  </si>
  <si>
    <t>Sentidos Elficos</t>
  </si>
  <si>
    <t>Herança Férica</t>
  </si>
  <si>
    <t>Outros Poderes</t>
  </si>
  <si>
    <t>Magia Ilimitada</t>
  </si>
  <si>
    <t>PNA</t>
  </si>
  <si>
    <t>Kit de ofício (alquimia)</t>
  </si>
  <si>
    <t>Venefício</t>
  </si>
  <si>
    <t>Preço</t>
  </si>
  <si>
    <t>Capacidade</t>
  </si>
  <si>
    <t>Status</t>
  </si>
  <si>
    <t>Capacidade Máxima</t>
  </si>
  <si>
    <t>Quantidade</t>
  </si>
  <si>
    <t>+10 em teste de alquimia</t>
  </si>
  <si>
    <t>Peso Un.</t>
  </si>
  <si>
    <t>Preço Un.</t>
  </si>
  <si>
    <t>Bordão</t>
  </si>
  <si>
    <t>1d6/1d6</t>
  </si>
  <si>
    <t>Impacto</t>
  </si>
  <si>
    <t>Modificação</t>
  </si>
  <si>
    <t>Equilibrada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</si>
</sst>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sz val="8"/>
      <name val="Aptos Narrow"/>
      <family val="2"/>
      <scheme val="minor"/>
    </font>
    <font>
      <b/>
      <sz val="7.5"/>
      <color rgb="FF231F20"/>
      <name val="Palatino Linotype"/>
      <family val="1"/>
    </font>
    <font>
      <b/>
      <sz val="10"/>
      <color rgb="FF231F20"/>
      <name val="Palatino Linotype"/>
      <family val="1"/>
    </font>
    <font>
      <sz val="9"/>
      <color indexed="81"/>
      <name val="Segoe UI"/>
      <family val="2"/>
    </font>
    <font>
      <b/>
      <sz val="9"/>
      <color indexed="81"/>
      <name val="Segoe UI"/>
      <family val="2"/>
    </font>
    <font>
      <sz val="9"/>
      <color rgb="FF231F20"/>
      <name val="Palatino Linotype"/>
      <family val="1"/>
    </font>
    <font>
      <b/>
      <sz val="9"/>
      <color rgb="FF231F20"/>
      <name val="Palatino Linotype"/>
      <family val="1"/>
    </font>
    <font>
      <sz val="10"/>
      <color rgb="FF000000"/>
      <name val="Aptos Narrow"/>
      <scheme val="minor"/>
    </font>
  </fonts>
  <fills count="4">
    <fill>
      <patternFill patternType="none"/>
    </fill>
    <fill>
      <patternFill patternType="gray125"/>
    </fill>
    <fill>
      <patternFill patternType="solid">
        <fgColor rgb="FFD7CFCB"/>
        <bgColor indexed="64"/>
      </patternFill>
    </fill>
    <fill>
      <patternFill patternType="solid">
        <fgColor theme="0"/>
        <bgColor indexed="64"/>
      </patternFill>
    </fill>
  </fills>
  <borders count="38">
    <border>
      <left/>
      <right/>
      <top/>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ck">
        <color indexed="64"/>
      </left>
      <right style="thin">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n">
        <color indexed="64"/>
      </left>
      <right style="thick">
        <color indexed="64"/>
      </right>
      <top style="thick">
        <color indexed="64"/>
      </top>
      <bottom style="thick">
        <color indexed="64"/>
      </bottom>
      <diagonal/>
    </border>
    <border>
      <left style="thick">
        <color indexed="64"/>
      </left>
      <right/>
      <top style="thick">
        <color indexed="64"/>
      </top>
      <bottom style="thin">
        <color indexed="64"/>
      </bottom>
      <diagonal/>
    </border>
    <border>
      <left/>
      <right style="thick">
        <color indexed="64"/>
      </right>
      <top style="thick">
        <color indexed="64"/>
      </top>
      <bottom style="thin">
        <color indexed="64"/>
      </bottom>
      <diagonal/>
    </border>
    <border>
      <left/>
      <right style="thick">
        <color indexed="64"/>
      </right>
      <top style="thin">
        <color indexed="64"/>
      </top>
      <bottom style="thin">
        <color indexed="64"/>
      </bottom>
      <diagonal/>
    </border>
    <border>
      <left style="thin">
        <color indexed="64"/>
      </left>
      <right/>
      <top style="thin">
        <color indexed="64"/>
      </top>
      <bottom style="thick">
        <color indexed="64"/>
      </bottom>
      <diagonal/>
    </border>
    <border>
      <left style="thick">
        <color rgb="FF505050"/>
      </left>
      <right style="thin">
        <color rgb="FF505050"/>
      </right>
      <top style="thick">
        <color rgb="FF505050"/>
      </top>
      <bottom style="thin">
        <color rgb="FF505050"/>
      </bottom>
      <diagonal/>
    </border>
    <border>
      <left style="thin">
        <color rgb="FF505050"/>
      </left>
      <right style="thin">
        <color rgb="FF505050"/>
      </right>
      <top style="thick">
        <color rgb="FF505050"/>
      </top>
      <bottom style="thin">
        <color rgb="FF505050"/>
      </bottom>
      <diagonal/>
    </border>
    <border>
      <left style="thin">
        <color rgb="FF505050"/>
      </left>
      <right style="thick">
        <color rgb="FF505050"/>
      </right>
      <top style="thick">
        <color rgb="FF505050"/>
      </top>
      <bottom style="thin">
        <color rgb="FF505050"/>
      </bottom>
      <diagonal/>
    </border>
    <border>
      <left style="thick">
        <color rgb="FF505050"/>
      </left>
      <right style="thin">
        <color rgb="FF505050"/>
      </right>
      <top style="thin">
        <color rgb="FF505050"/>
      </top>
      <bottom style="thin">
        <color rgb="FF505050"/>
      </bottom>
      <diagonal/>
    </border>
    <border>
      <left style="thin">
        <color rgb="FF505050"/>
      </left>
      <right style="thin">
        <color rgb="FF505050"/>
      </right>
      <top style="thin">
        <color rgb="FF505050"/>
      </top>
      <bottom style="thin">
        <color rgb="FF505050"/>
      </bottom>
      <diagonal/>
    </border>
    <border>
      <left style="thin">
        <color rgb="FF505050"/>
      </left>
      <right style="thick">
        <color rgb="FF505050"/>
      </right>
      <top style="thin">
        <color rgb="FF505050"/>
      </top>
      <bottom style="thin">
        <color rgb="FF505050"/>
      </bottom>
      <diagonal/>
    </border>
    <border>
      <left style="thick">
        <color rgb="FF505050"/>
      </left>
      <right style="thin">
        <color rgb="FF505050"/>
      </right>
      <top style="thin">
        <color rgb="FF505050"/>
      </top>
      <bottom style="thick">
        <color rgb="FF505050"/>
      </bottom>
      <diagonal/>
    </border>
    <border>
      <left style="thin">
        <color rgb="FF505050"/>
      </left>
      <right style="thin">
        <color rgb="FF505050"/>
      </right>
      <top style="thin">
        <color rgb="FF505050"/>
      </top>
      <bottom style="thick">
        <color rgb="FF505050"/>
      </bottom>
      <diagonal/>
    </border>
    <border>
      <left style="thin">
        <color rgb="FF505050"/>
      </left>
      <right style="thick">
        <color rgb="FF505050"/>
      </right>
      <top style="thin">
        <color rgb="FF505050"/>
      </top>
      <bottom style="thick">
        <color rgb="FF505050"/>
      </bottom>
      <diagonal/>
    </border>
    <border>
      <left style="thick">
        <color indexed="64"/>
      </left>
      <right/>
      <top/>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n">
        <color indexed="64"/>
      </top>
      <bottom style="thick">
        <color indexed="64"/>
      </bottom>
      <diagonal/>
    </border>
  </borders>
  <cellStyleXfs count="1">
    <xf numFmtId="0" fontId="0" fillId="0" borderId="0"/>
  </cellStyleXfs>
  <cellXfs count="112">
    <xf numFmtId="0" fontId="0" fillId="0" borderId="0" xfId="0"/>
    <xf numFmtId="0" fontId="0" fillId="0" borderId="0" xfId="0" applyAlignment="1">
      <alignment horizontal="center" vertical="center"/>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3"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15" xfId="0" applyFont="1" applyFill="1" applyBorder="1" applyAlignment="1">
      <alignment horizontal="center" vertical="center" wrapText="1"/>
    </xf>
    <xf numFmtId="0" fontId="6" fillId="3" borderId="16" xfId="0" applyFont="1" applyFill="1" applyBorder="1" applyAlignment="1">
      <alignment horizontal="center" vertical="center" wrapText="1"/>
    </xf>
    <xf numFmtId="0" fontId="6" fillId="3" borderId="17"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9"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3" xfId="0" applyFont="1" applyFill="1" applyBorder="1" applyAlignment="1">
      <alignment horizontal="center" vertical="center"/>
    </xf>
    <xf numFmtId="0" fontId="6" fillId="0" borderId="4" xfId="0" applyFont="1" applyBorder="1" applyAlignment="1">
      <alignment horizontal="center" vertical="center"/>
    </xf>
    <xf numFmtId="0" fontId="6" fillId="0" borderId="6" xfId="0" applyFont="1" applyBorder="1" applyAlignment="1">
      <alignment horizontal="center" vertical="center"/>
    </xf>
    <xf numFmtId="0" fontId="3"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 xfId="0" applyFont="1" applyFill="1" applyBorder="1" applyAlignment="1">
      <alignment horizontal="left" vertical="center"/>
    </xf>
    <xf numFmtId="0" fontId="3" fillId="2" borderId="2" xfId="0" applyFont="1" applyFill="1" applyBorder="1" applyAlignment="1">
      <alignment horizontal="left" vertical="center"/>
    </xf>
    <xf numFmtId="0" fontId="6" fillId="0" borderId="5" xfId="0" applyFont="1" applyBorder="1" applyAlignment="1">
      <alignment horizontal="center" vertical="center"/>
    </xf>
    <xf numFmtId="3" fontId="6" fillId="2" borderId="4" xfId="0" applyNumberFormat="1" applyFont="1" applyFill="1" applyBorder="1" applyAlignment="1">
      <alignment horizontal="center" vertical="center"/>
    </xf>
    <xf numFmtId="0" fontId="6" fillId="2" borderId="5" xfId="0" applyFont="1" applyFill="1" applyBorder="1" applyAlignment="1">
      <alignment horizontal="center" vertical="center"/>
    </xf>
    <xf numFmtId="3" fontId="6" fillId="0" borderId="4" xfId="0" applyNumberFormat="1" applyFont="1" applyBorder="1" applyAlignment="1">
      <alignment horizontal="center" vertical="center"/>
    </xf>
    <xf numFmtId="3" fontId="6" fillId="2" borderId="7" xfId="0" applyNumberFormat="1" applyFont="1" applyFill="1" applyBorder="1" applyAlignment="1">
      <alignment horizontal="center" vertical="center"/>
    </xf>
    <xf numFmtId="0" fontId="6" fillId="2" borderId="8" xfId="0" applyFont="1" applyFill="1" applyBorder="1" applyAlignment="1">
      <alignment horizontal="center" vertical="center"/>
    </xf>
    <xf numFmtId="0" fontId="3" fillId="2" borderId="10" xfId="0" applyFont="1" applyFill="1" applyBorder="1" applyAlignment="1">
      <alignment horizontal="center" vertical="center"/>
    </xf>
    <xf numFmtId="0" fontId="7" fillId="3" borderId="4" xfId="0" applyFont="1" applyFill="1" applyBorder="1" applyAlignment="1">
      <alignment horizontal="center" vertical="center" wrapText="1"/>
    </xf>
    <xf numFmtId="0" fontId="7" fillId="3" borderId="6" xfId="0" applyFont="1" applyFill="1" applyBorder="1" applyAlignment="1">
      <alignment horizontal="center" vertical="center" wrapText="1"/>
    </xf>
    <xf numFmtId="0" fontId="3" fillId="2" borderId="14" xfId="0" applyFont="1" applyFill="1" applyBorder="1" applyAlignment="1">
      <alignment horizontal="center" vertical="center" wrapText="1"/>
    </xf>
    <xf numFmtId="0" fontId="6" fillId="3" borderId="10" xfId="0" applyFont="1" applyFill="1" applyBorder="1" applyAlignment="1">
      <alignment horizontal="center" vertical="center"/>
    </xf>
    <xf numFmtId="0" fontId="6" fillId="3" borderId="15" xfId="0" applyFont="1" applyFill="1" applyBorder="1" applyAlignment="1">
      <alignment horizontal="center" vertical="center"/>
    </xf>
    <xf numFmtId="0" fontId="6" fillId="0" borderId="1" xfId="0" applyFont="1" applyBorder="1" applyAlignment="1">
      <alignment horizontal="center" vertic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3" fillId="2" borderId="5" xfId="0" applyFont="1" applyFill="1" applyBorder="1" applyAlignment="1">
      <alignment horizontal="center" vertical="center"/>
    </xf>
    <xf numFmtId="0" fontId="6" fillId="0" borderId="7" xfId="0" applyFont="1" applyBorder="1" applyAlignment="1">
      <alignment horizontal="center" vertical="center"/>
    </xf>
    <xf numFmtId="0" fontId="6" fillId="0" borderId="8" xfId="0" applyFont="1" applyBorder="1" applyAlignment="1">
      <alignment horizontal="center" vertical="center"/>
    </xf>
    <xf numFmtId="0" fontId="6" fillId="0" borderId="9" xfId="0" applyFont="1" applyBorder="1" applyAlignment="1">
      <alignment horizontal="center" vertical="center"/>
    </xf>
    <xf numFmtId="0" fontId="3" fillId="2" borderId="25" xfId="0" applyFont="1" applyFill="1" applyBorder="1" applyAlignment="1">
      <alignment vertical="center"/>
    </xf>
    <xf numFmtId="0" fontId="3" fillId="2" borderId="26" xfId="0" applyFont="1" applyFill="1" applyBorder="1" applyAlignment="1">
      <alignment vertical="center"/>
    </xf>
    <xf numFmtId="0" fontId="3" fillId="2" borderId="27" xfId="0" applyFont="1" applyFill="1" applyBorder="1" applyAlignment="1">
      <alignment vertical="center"/>
    </xf>
    <xf numFmtId="0" fontId="6" fillId="3" borderId="28" xfId="0" applyFont="1" applyFill="1" applyBorder="1" applyAlignment="1">
      <alignment vertical="center" wrapText="1"/>
    </xf>
    <xf numFmtId="0" fontId="6" fillId="3" borderId="29" xfId="0" applyFont="1" applyFill="1" applyBorder="1" applyAlignment="1">
      <alignment vertical="center"/>
    </xf>
    <xf numFmtId="0" fontId="6" fillId="3" borderId="29" xfId="0" applyFont="1" applyFill="1" applyBorder="1" applyAlignment="1">
      <alignment vertical="center" wrapText="1"/>
    </xf>
    <xf numFmtId="0" fontId="6" fillId="3" borderId="30" xfId="0" applyFont="1" applyFill="1" applyBorder="1" applyAlignment="1">
      <alignment vertical="center" wrapText="1"/>
    </xf>
    <xf numFmtId="0" fontId="3" fillId="2" borderId="28" xfId="0" applyFont="1" applyFill="1" applyBorder="1" applyAlignment="1">
      <alignment vertical="center"/>
    </xf>
    <xf numFmtId="0" fontId="3" fillId="2" borderId="29" xfId="0" applyFont="1" applyFill="1" applyBorder="1" applyAlignment="1">
      <alignment vertical="center"/>
    </xf>
    <xf numFmtId="0" fontId="3" fillId="2" borderId="30" xfId="0" applyFont="1" applyFill="1" applyBorder="1" applyAlignment="1">
      <alignment vertical="center"/>
    </xf>
    <xf numFmtId="0" fontId="6" fillId="3" borderId="31" xfId="0" applyFont="1" applyFill="1" applyBorder="1" applyAlignment="1">
      <alignment vertical="center" wrapText="1"/>
    </xf>
    <xf numFmtId="0" fontId="6" fillId="3" borderId="32" xfId="0" applyFont="1" applyFill="1" applyBorder="1" applyAlignment="1">
      <alignment vertical="center" wrapText="1"/>
    </xf>
    <xf numFmtId="0" fontId="6" fillId="3" borderId="33" xfId="0" applyFont="1" applyFill="1" applyBorder="1" applyAlignment="1">
      <alignment vertical="center" wrapText="1"/>
    </xf>
    <xf numFmtId="0" fontId="3" fillId="2" borderId="24" xfId="0" applyFont="1" applyFill="1" applyBorder="1" applyAlignment="1">
      <alignment horizontal="center" vertical="center" wrapText="1"/>
    </xf>
    <xf numFmtId="0" fontId="0" fillId="0" borderId="34" xfId="0" applyBorder="1"/>
    <xf numFmtId="0" fontId="6" fillId="3" borderId="24" xfId="0" applyFont="1" applyFill="1" applyBorder="1" applyAlignment="1">
      <alignment horizontal="center" vertical="center" wrapText="1"/>
    </xf>
    <xf numFmtId="0" fontId="6" fillId="3" borderId="4" xfId="0" applyFont="1" applyFill="1" applyBorder="1" applyAlignment="1">
      <alignment horizontal="center" vertical="center"/>
    </xf>
    <xf numFmtId="0" fontId="3" fillId="2" borderId="2" xfId="0" applyFont="1" applyFill="1" applyBorder="1" applyAlignment="1">
      <alignment horizontal="center" vertical="center"/>
    </xf>
    <xf numFmtId="0" fontId="7" fillId="3" borderId="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2" borderId="19"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6" fillId="3" borderId="5" xfId="0" applyFont="1" applyFill="1" applyBorder="1" applyAlignment="1">
      <alignment horizontal="center" vertical="center" wrapText="1"/>
    </xf>
    <xf numFmtId="0" fontId="6" fillId="3" borderId="6"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3" fillId="2" borderId="9" xfId="0" applyFont="1" applyFill="1" applyBorder="1" applyAlignment="1">
      <alignment horizontal="center" vertical="center" wrapText="1"/>
    </xf>
    <xf numFmtId="10" fontId="3" fillId="2" borderId="5" xfId="0" applyNumberFormat="1" applyFont="1" applyFill="1" applyBorder="1" applyAlignment="1">
      <alignment horizontal="center" vertical="center" wrapText="1"/>
    </xf>
    <xf numFmtId="10" fontId="3" fillId="2" borderId="6" xfId="0" applyNumberFormat="1"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23"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23"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3" fillId="2" borderId="21" xfId="0" applyFont="1" applyFill="1" applyBorder="1" applyAlignment="1">
      <alignment horizontal="center" vertical="center" wrapText="1"/>
    </xf>
    <xf numFmtId="0" fontId="3" fillId="2" borderId="22" xfId="0" applyFont="1" applyFill="1" applyBorder="1" applyAlignment="1">
      <alignment horizontal="center" vertical="center" wrapText="1"/>
    </xf>
    <xf numFmtId="0" fontId="3" fillId="2" borderId="35"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3" fillId="2" borderId="5" xfId="0" quotePrefix="1" applyFont="1" applyFill="1" applyBorder="1" applyAlignment="1">
      <alignment horizontal="center" vertical="center"/>
    </xf>
    <xf numFmtId="0" fontId="3" fillId="2" borderId="5" xfId="0" applyFont="1" applyFill="1" applyBorder="1" applyAlignment="1">
      <alignment horizontal="center" vertical="center"/>
    </xf>
    <xf numFmtId="0" fontId="3" fillId="2" borderId="36" xfId="0" applyFont="1" applyFill="1" applyBorder="1" applyAlignment="1">
      <alignment horizontal="center" vertical="center" wrapText="1"/>
    </xf>
    <xf numFmtId="0" fontId="3" fillId="2" borderId="24" xfId="0" applyFont="1" applyFill="1" applyBorder="1" applyAlignment="1">
      <alignment horizontal="center" vertical="center"/>
    </xf>
    <xf numFmtId="0" fontId="3" fillId="2" borderId="37" xfId="0" applyFont="1" applyFill="1" applyBorder="1" applyAlignment="1">
      <alignment horizontal="center" vertical="center"/>
    </xf>
    <xf numFmtId="0" fontId="6" fillId="3" borderId="11"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5"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3" xfId="0" applyFont="1" applyFill="1" applyBorder="1" applyAlignment="1">
      <alignment horizontal="center" vertical="center"/>
    </xf>
  </cellXfs>
  <cellStyles count="1">
    <cellStyle name="Normal" xfId="0" builtinId="0"/>
  </cellStyles>
  <dxfs count="42">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ck">
          <color rgb="FF000000"/>
        </left>
        <right style="thick">
          <color rgb="FF000000"/>
        </right>
        <top style="thick">
          <color rgb="FF000000"/>
        </top>
        <bottom style="thick">
          <color rgb="FF000000"/>
        </bottom>
      </border>
    </dxf>
    <dxf>
      <font>
        <b val="0"/>
        <i val="0"/>
        <strike val="0"/>
        <condense val="0"/>
        <extend val="0"/>
        <outline val="0"/>
        <shadow val="0"/>
        <u val="none"/>
        <vertAlign val="baseline"/>
        <sz val="9"/>
        <color rgb="FF231F20"/>
        <name val="Palatino Linotype"/>
        <family val="1"/>
        <scheme val="none"/>
      </font>
      <fill>
        <patternFill patternType="solid">
          <fgColor rgb="FF000000"/>
          <bgColor rgb="FFFFFFFF"/>
        </patternFill>
      </fill>
      <alignment horizontal="center" vertical="center" textRotation="0" wrapText="1" indent="0" justifyLastLine="0" shrinkToFit="0" readingOrder="0"/>
    </dxf>
    <dxf>
      <border>
        <bottom style="thin">
          <color rgb="FF000000"/>
        </bottom>
      </border>
    </dxf>
    <dxf>
      <font>
        <b/>
        <i val="0"/>
        <strike val="0"/>
        <condense val="0"/>
        <extend val="0"/>
        <outline val="0"/>
        <shadow val="0"/>
        <u val="none"/>
        <vertAlign val="baseline"/>
        <sz val="10"/>
        <color rgb="FF231F20"/>
        <name val="Palatino Linotype"/>
        <family val="1"/>
        <scheme val="none"/>
      </font>
      <fill>
        <patternFill patternType="solid">
          <fgColor indexed="64"/>
          <bgColor rgb="FFD7CFCB"/>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ck">
          <color indexed="64"/>
        </left>
        <right style="thick">
          <color indexed="64"/>
        </right>
        <top style="thick">
          <color indexed="64"/>
        </top>
        <bottom style="thick">
          <color indexed="64"/>
        </bottom>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dxf>
    <dxf>
      <border>
        <bottom style="thin">
          <color indexed="64"/>
        </bottom>
      </border>
    </dxf>
    <dxf>
      <font>
        <b/>
        <i val="0"/>
        <strike val="0"/>
        <condense val="0"/>
        <extend val="0"/>
        <outline val="0"/>
        <shadow val="0"/>
        <u val="none"/>
        <vertAlign val="baseline"/>
        <sz val="10"/>
        <color rgb="FF231F20"/>
        <name val="Palatino Linotype"/>
        <family val="1"/>
        <scheme val="none"/>
      </font>
      <fill>
        <patternFill patternType="solid">
          <fgColor indexed="64"/>
          <bgColor rgb="FFD7CFCB"/>
        </patternFill>
      </fill>
      <alignment horizontal="center"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rgb="FF231F20"/>
        <name val="Palatino Linotype"/>
        <family val="1"/>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231F20"/>
        <name val="Palatino Linotype"/>
        <family val="1"/>
        <scheme val="none"/>
      </font>
      <fill>
        <patternFill patternType="solid">
          <fgColor indexed="64"/>
          <bgColor theme="0"/>
        </patternFill>
      </fill>
      <alignment horizontal="center"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ck">
          <color indexed="64"/>
        </left>
        <right style="thick">
          <color indexed="64"/>
        </right>
        <top style="thick">
          <color indexed="64"/>
        </top>
        <bottom style="thick">
          <color indexed="64"/>
        </bottom>
      </border>
    </dxf>
    <dxf>
      <border outline="0">
        <bottom style="thin">
          <color indexed="64"/>
        </bottom>
      </border>
    </dxf>
    <dxf>
      <font>
        <b/>
        <i val="0"/>
        <strike val="0"/>
        <condense val="0"/>
        <extend val="0"/>
        <outline val="0"/>
        <shadow val="0"/>
        <u val="none"/>
        <vertAlign val="baseline"/>
        <sz val="10"/>
        <color rgb="FF231F20"/>
        <name val="Palatino Linotype"/>
        <family val="1"/>
        <scheme val="none"/>
      </font>
      <fill>
        <patternFill patternType="solid">
          <fgColor indexed="64"/>
          <bgColor rgb="FFD7CFCB"/>
        </patternFill>
      </fill>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41B94BB-993F-46E0-8D20-25D8B8DFC9D2}" name="Tabela2" displayName="Tabela2" ref="B2:E35" totalsRowShown="0" headerRowDxfId="41" headerRowBorderDxfId="40" tableBorderDxfId="39" totalsRowBorderDxfId="38">
  <autoFilter ref="B2:E35" xr:uid="{341B94BB-993F-46E0-8D20-25D8B8DFC9D2}"/>
  <tableColumns count="4">
    <tableColumn id="1" xr3:uid="{D1894870-874E-4AAD-A247-ECC662F48358}" name="Magia" dataDxfId="37"/>
    <tableColumn id="4" xr3:uid="{E9C52482-94DF-400D-B27D-3BB0A2CD6FB4}" name="Tipo" dataDxfId="36"/>
    <tableColumn id="2" xr3:uid="{79E6BF69-750F-4120-9C22-CBF48EC98822}" name="Círculo" dataDxfId="35"/>
    <tableColumn id="3" xr3:uid="{13264AB4-FFD5-4BB3-BAD2-D832AAF7A08F}" name="Custo" dataDxfId="34">
      <calculatedColumnFormula>IFERROR(VLOOKUP(D3,$G$3:$H$7,2,FALSE)^2*10,"")</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B38B72-5BEC-4A97-A0DA-A810BF14F697}" name="Tabela1" displayName="Tabela1" ref="B2:M33" totalsRowShown="0" headerRowDxfId="33" dataDxfId="31" headerRowBorderDxfId="32" tableBorderDxfId="30" totalsRowBorderDxfId="29">
  <autoFilter ref="B2:M33" xr:uid="{E9B38B72-5BEC-4A97-A0DA-A810BF14F697}"/>
  <sortState xmlns:xlrd2="http://schemas.microsoft.com/office/spreadsheetml/2017/richdata2" ref="B3:M33">
    <sortCondition ref="B2:B33"/>
  </sortState>
  <tableColumns count="12">
    <tableColumn id="1" xr3:uid="{35823DB3-F1AE-4CDE-BCEB-3F67A161199D}" name="Perícia" dataDxfId="28"/>
    <tableColumn id="11" xr3:uid="{71D30AF6-6ECB-4DCC-B970-0C8671D1D99E}" name="ATR" dataDxfId="27"/>
    <tableColumn id="2" xr3:uid="{F48A0B7A-BF4E-4E96-855A-EF5F80CD02AF}" name="MOD" dataDxfId="26">
      <calculatedColumnFormula>VLOOKUP(C3,Cleber!$B$3:$D$8,3,FALSE)</calculatedColumnFormula>
    </tableColumn>
    <tableColumn id="3" xr3:uid="{A5C55ADC-017F-4BF3-96EE-DA8B584D4A98}" name="1/2 Nível" dataDxfId="25">
      <calculatedColumnFormula>VLOOKUP(Cleber!$G$2,'uns dados aí'!$I$3:$J$22,2,FALSE)</calculatedColumnFormula>
    </tableColumn>
    <tableColumn id="4" xr3:uid="{271DCFED-97F3-476E-9BF9-01CA669D22C9}" name="Treino" dataDxfId="24">
      <calculatedColumnFormula>IF(Tabela1[[#This Row],[Treinada?]]="sim",VLOOKUP(Cleber!$G$2,'uns dados aí'!$E$2:$F$4,2,TRUE),"")</calculatedColumnFormula>
    </tableColumn>
    <tableColumn id="10" xr3:uid="{0597BDAA-ECFD-4424-8BC9-0A2726873A2D}" name="Raça" dataDxfId="23"/>
    <tableColumn id="5" xr3:uid="{DC4DD309-E0D5-4BFA-B599-712B0D96915F}" name="Bônus" dataDxfId="22"/>
    <tableColumn id="9" xr3:uid="{4B403395-1BD1-4EED-8C7D-DFC601AD6CFC}" name="Bônus Habilidade" dataDxfId="21"/>
    <tableColumn id="6" xr3:uid="{FA043140-F4F5-450A-8642-B2838683E293}" name="Total" dataDxfId="20">
      <calculatedColumnFormula>SUM(Tabela1[[#This Row],[MOD]:[Bônus Habilidade]])-IF(Tabela1[[#This Row],[Penalidade de Armadura?]]="sim",Cleber!$D$16,0)</calculatedColumnFormula>
    </tableColumn>
    <tableColumn id="7" xr3:uid="{32CFEA9E-CDB7-467A-9741-E969780B88CF}" name="Treinada?" dataDxfId="19"/>
    <tableColumn id="12" xr3:uid="{4D510E34-D284-49F1-9685-C49F70168A12}" name="Somente Treinada?" dataDxfId="18"/>
    <tableColumn id="8" xr3:uid="{DA0D8D90-A3BF-4F51-8AAE-F48C1576B17E}" name="Penalidade de Armadura?" dataDxfId="1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5C4D9DD-A352-4A98-A4EA-69024F44BE5F}" name="Tabela14" displayName="Tabela14" ref="B2:M33" totalsRowShown="0" headerRowDxfId="16" dataDxfId="14" headerRowBorderDxfId="15" tableBorderDxfId="13" totalsRowBorderDxfId="12">
  <autoFilter ref="B2:M33" xr:uid="{E9B38B72-5BEC-4A97-A0DA-A810BF14F697}"/>
  <sortState xmlns:xlrd2="http://schemas.microsoft.com/office/spreadsheetml/2017/richdata2" ref="B3:M33">
    <sortCondition ref="B2:B33"/>
  </sortState>
  <tableColumns count="12">
    <tableColumn id="1" xr3:uid="{519E1489-C314-4404-A0DD-09AC6888B0FF}" name="Perícia" dataDxfId="11"/>
    <tableColumn id="11" xr3:uid="{F57CB9B5-4E42-4252-9D3F-1268826FED7D}" name="ATR" dataDxfId="10"/>
    <tableColumn id="2" xr3:uid="{729B8C64-280C-4BDA-B1DA-7008359BC959}" name="MOD" dataDxfId="9">
      <calculatedColumnFormula>VLOOKUP(C3,Cleber!$B$3:$D$8,3,FALSE)</calculatedColumnFormula>
    </tableColumn>
    <tableColumn id="3" xr3:uid="{B2896C73-B008-4753-B047-CBF5947F4947}" name="1/2 Nível" dataDxfId="8">
      <calculatedColumnFormula>VLOOKUP(Cleber!$G$2,'uns dados aí'!$I$3:$J$22,2,FALSE)</calculatedColumnFormula>
    </tableColumn>
    <tableColumn id="4" xr3:uid="{0461CFF1-B44B-490B-9AB9-D95DD1510414}" name="Treino" dataDxfId="7">
      <calculatedColumnFormula>IF(Tabela14[[#This Row],[Treinada?]]="sim",VLOOKUP(Cleber!$G$2,'uns dados aí'!$E$2:$F$4,2,TRUE),"")</calculatedColumnFormula>
    </tableColumn>
    <tableColumn id="10" xr3:uid="{9329C84C-824D-4447-A7CA-425033AD5947}" name="Raça" dataDxfId="6"/>
    <tableColumn id="5" xr3:uid="{9B28FA64-F7B3-4CAF-8C77-540A15A93184}" name="Bônus" dataDxfId="5"/>
    <tableColumn id="9" xr3:uid="{5C865FA7-8036-4B5F-92C5-F4866E4A2409}" name="Bônus Habilidade" dataDxfId="4"/>
    <tableColumn id="6" xr3:uid="{B65AFDB5-6A6F-4BE3-ADB2-9497F98B9FC3}" name="Total" dataDxfId="3">
      <calculatedColumnFormula>SUM(Tabela14[[#This Row],[MOD]:[Bônus Habilidade]])-IF(Tabela14[[#This Row],[Penalidade de Armadura?]]="sim",Cleber!D16,0)</calculatedColumnFormula>
    </tableColumn>
    <tableColumn id="7" xr3:uid="{79CD8B55-E5C5-4C34-A4BF-7D04F218CCEF}" name="Treinada?" dataDxfId="2"/>
    <tableColumn id="12" xr3:uid="{59ADF3CE-A6A5-4C36-A35C-28B49FE674B9}" name="Somente Treinada?" dataDxfId="1"/>
    <tableColumn id="8" xr3:uid="{F4A691E7-DE8B-4B5A-92F4-6623CB4C3A63}" name="Penalidade de Armadura?" dataDxfId="0"/>
  </tableColumns>
  <tableStyleInfo name="TableStyleLight9"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F22E24-4638-4394-AA75-6D064ADBD3D9}">
  <dimension ref="B1:N41"/>
  <sheetViews>
    <sheetView tabSelected="1" zoomScale="130" zoomScaleNormal="130" workbookViewId="0">
      <selection activeCell="G11" sqref="G11"/>
    </sheetView>
  </sheetViews>
  <sheetFormatPr defaultRowHeight="15" x14ac:dyDescent="0.25"/>
  <cols>
    <col min="2" max="2" width="12.42578125" bestFit="1" customWidth="1"/>
    <col min="3" max="3" width="6.140625" bestFit="1" customWidth="1"/>
    <col min="4" max="4" width="13.28515625" customWidth="1"/>
    <col min="6" max="6" width="14.5703125" customWidth="1"/>
    <col min="7" max="7" width="7.85546875" customWidth="1"/>
    <col min="8" max="8" width="7.85546875" bestFit="1" customWidth="1"/>
    <col min="9" max="9" width="6" bestFit="1" customWidth="1"/>
    <col min="11" max="11" width="16" bestFit="1" customWidth="1"/>
    <col min="14" max="14" width="36.42578125" customWidth="1"/>
  </cols>
  <sheetData>
    <row r="1" spans="2:14" ht="15.75" thickBot="1" x14ac:dyDescent="0.3"/>
    <row r="2" spans="2:14" ht="15.75" customHeight="1" thickTop="1" x14ac:dyDescent="0.25">
      <c r="B2" s="76" t="s">
        <v>0</v>
      </c>
      <c r="C2" s="78"/>
      <c r="D2" s="3" t="s">
        <v>8</v>
      </c>
      <c r="F2" s="2" t="s">
        <v>9</v>
      </c>
      <c r="G2" s="78">
        <f>VLOOKUP(G10,'uns dados aí'!$H$2:$I$22,2,TRUE)</f>
        <v>3</v>
      </c>
      <c r="H2" s="77"/>
      <c r="K2" s="76" t="s">
        <v>100</v>
      </c>
      <c r="L2" s="78"/>
      <c r="M2" s="78"/>
      <c r="N2" s="77"/>
    </row>
    <row r="3" spans="2:14" x14ac:dyDescent="0.25">
      <c r="B3" s="21" t="s">
        <v>3</v>
      </c>
      <c r="C3" s="16">
        <f>'uns dados aí'!C3+(VLOOKUP(B3,Perícias!$O$7:$P$13,2,FALSE))</f>
        <v>16</v>
      </c>
      <c r="D3" s="22">
        <f t="shared" ref="D3:D8" si="0">ROUNDDOWN((C3-10)/2,0)</f>
        <v>3</v>
      </c>
      <c r="F3" s="21" t="s">
        <v>1</v>
      </c>
      <c r="G3" s="16">
        <f>H3-L25-SUM(L4:L22)</f>
        <v>21</v>
      </c>
      <c r="H3" s="22">
        <f>'uns dados aí'!M2+((G2-1)*'uns dados aí'!C12)</f>
        <v>21</v>
      </c>
      <c r="K3" s="21" t="s">
        <v>98</v>
      </c>
      <c r="L3" s="16" t="s">
        <v>1</v>
      </c>
      <c r="M3" s="16" t="s">
        <v>2</v>
      </c>
      <c r="N3" s="22" t="s">
        <v>99</v>
      </c>
    </row>
    <row r="4" spans="2:14" x14ac:dyDescent="0.25">
      <c r="B4" s="4" t="s">
        <v>4</v>
      </c>
      <c r="C4" s="5">
        <f>'uns dados aí'!C4+(VLOOKUP(B4,Perícias!$O$7:$P$13,2,FALSE))</f>
        <v>14</v>
      </c>
      <c r="D4" s="6">
        <f t="shared" si="0"/>
        <v>2</v>
      </c>
      <c r="F4" s="4" t="s">
        <v>2</v>
      </c>
      <c r="G4" s="5">
        <f>H4-L26-SUM(M4:M22)</f>
        <v>15</v>
      </c>
      <c r="H4" s="6">
        <f>'uns dados aí'!C13*G2</f>
        <v>15</v>
      </c>
      <c r="K4" s="4">
        <v>1</v>
      </c>
      <c r="L4" s="5"/>
      <c r="M4" s="5"/>
      <c r="N4" s="6"/>
    </row>
    <row r="5" spans="2:14" x14ac:dyDescent="0.25">
      <c r="B5" s="21" t="s">
        <v>12</v>
      </c>
      <c r="C5" s="16">
        <f>'uns dados aí'!C5+(VLOOKUP(B5,Perícias!$O$7:$P$13,2,FALSE))</f>
        <v>12</v>
      </c>
      <c r="D5" s="22">
        <f t="shared" si="0"/>
        <v>1</v>
      </c>
      <c r="F5" s="21" t="s">
        <v>10</v>
      </c>
      <c r="G5" s="88">
        <f>10+D4+C16</f>
        <v>14</v>
      </c>
      <c r="H5" s="89"/>
      <c r="K5" s="21">
        <v>2</v>
      </c>
      <c r="L5" s="16"/>
      <c r="M5" s="16"/>
      <c r="N5" s="22"/>
    </row>
    <row r="6" spans="2:14" x14ac:dyDescent="0.25">
      <c r="B6" s="4" t="s">
        <v>5</v>
      </c>
      <c r="C6" s="5">
        <f>'uns dados aí'!C6+(VLOOKUP(B6,Perícias!$O$7:$P$13,2,FALSE))</f>
        <v>22</v>
      </c>
      <c r="D6" s="6">
        <f t="shared" si="0"/>
        <v>6</v>
      </c>
      <c r="F6" s="4" t="s">
        <v>107</v>
      </c>
      <c r="G6" s="90">
        <f>G5+Perícias!J12</f>
        <v>18</v>
      </c>
      <c r="H6" s="91"/>
      <c r="K6" s="4">
        <v>3</v>
      </c>
      <c r="L6" s="5"/>
      <c r="M6" s="5"/>
      <c r="N6" s="6"/>
    </row>
    <row r="7" spans="2:14" x14ac:dyDescent="0.25">
      <c r="B7" s="21" t="s">
        <v>6</v>
      </c>
      <c r="C7" s="16">
        <f>'uns dados aí'!C7+(VLOOKUP(B7,Perícias!$O$7:$P$13,2,FALSE))</f>
        <v>18</v>
      </c>
      <c r="D7" s="22">
        <f t="shared" si="0"/>
        <v>4</v>
      </c>
      <c r="F7" s="21" t="s">
        <v>108</v>
      </c>
      <c r="G7" s="88">
        <f>Perícias!J27+Perícias!J21</f>
        <v>15</v>
      </c>
      <c r="H7" s="89"/>
      <c r="K7" s="21">
        <v>4</v>
      </c>
      <c r="L7" s="16"/>
      <c r="M7" s="16"/>
      <c r="N7" s="22"/>
    </row>
    <row r="8" spans="2:14" ht="15.75" thickBot="1" x14ac:dyDescent="0.3">
      <c r="B8" s="12" t="s">
        <v>7</v>
      </c>
      <c r="C8" s="13">
        <f>'uns dados aí'!C8+(VLOOKUP(B8,Perícias!$O$7:$P$13,2,FALSE))</f>
        <v>12</v>
      </c>
      <c r="D8" s="14">
        <f t="shared" si="0"/>
        <v>1</v>
      </c>
      <c r="F8" s="4" t="s">
        <v>11</v>
      </c>
      <c r="G8" s="86">
        <v>0.5</v>
      </c>
      <c r="H8" s="87"/>
      <c r="K8" s="4">
        <v>5</v>
      </c>
      <c r="L8" s="5"/>
      <c r="M8" s="5"/>
      <c r="N8" s="6"/>
    </row>
    <row r="9" spans="2:14" ht="15.75" thickTop="1" x14ac:dyDescent="0.25">
      <c r="F9" s="21" t="s">
        <v>94</v>
      </c>
      <c r="G9" s="82">
        <v>6</v>
      </c>
      <c r="H9" s="83"/>
      <c r="K9" s="21">
        <v>6</v>
      </c>
      <c r="L9" s="16"/>
      <c r="M9" s="16"/>
      <c r="N9" s="22"/>
    </row>
    <row r="10" spans="2:14" ht="15.75" thickBot="1" x14ac:dyDescent="0.3">
      <c r="F10" s="12" t="s">
        <v>95</v>
      </c>
      <c r="G10" s="84">
        <v>4600</v>
      </c>
      <c r="H10" s="85"/>
      <c r="K10" s="4">
        <v>7</v>
      </c>
      <c r="L10" s="5"/>
      <c r="M10" s="5"/>
      <c r="N10" s="6"/>
    </row>
    <row r="11" spans="2:14" ht="16.5" thickTop="1" thickBot="1" x14ac:dyDescent="0.3">
      <c r="K11" s="21">
        <v>8</v>
      </c>
      <c r="L11" s="16"/>
      <c r="M11" s="16"/>
      <c r="N11" s="22"/>
    </row>
    <row r="12" spans="2:14" ht="16.5" thickTop="1" thickBot="1" x14ac:dyDescent="0.3">
      <c r="B12" s="79" t="s">
        <v>13</v>
      </c>
      <c r="C12" s="80"/>
      <c r="D12" s="80"/>
      <c r="E12" s="80"/>
      <c r="F12" s="80"/>
      <c r="G12" s="80"/>
      <c r="H12" s="80"/>
      <c r="I12" s="81"/>
      <c r="K12" s="4">
        <v>9</v>
      </c>
      <c r="L12" s="5"/>
      <c r="M12" s="5"/>
      <c r="N12" s="6"/>
    </row>
    <row r="13" spans="2:14" ht="16.5" thickTop="1" thickBot="1" x14ac:dyDescent="0.3">
      <c r="B13" s="1"/>
      <c r="K13" s="21">
        <v>10</v>
      </c>
      <c r="L13" s="16"/>
      <c r="M13" s="16"/>
      <c r="N13" s="22"/>
    </row>
    <row r="14" spans="2:14" ht="15.75" thickTop="1" x14ac:dyDescent="0.25">
      <c r="B14" s="76" t="s">
        <v>21</v>
      </c>
      <c r="C14" s="78"/>
      <c r="D14" s="77"/>
      <c r="F14" s="76" t="s">
        <v>22</v>
      </c>
      <c r="G14" s="78"/>
      <c r="H14" s="78"/>
      <c r="I14" s="77"/>
      <c r="K14" s="4">
        <v>11</v>
      </c>
      <c r="L14" s="5"/>
      <c r="M14" s="5"/>
      <c r="N14" s="6"/>
    </row>
    <row r="15" spans="2:14" ht="28.5" x14ac:dyDescent="0.25">
      <c r="B15" s="21" t="s">
        <v>16</v>
      </c>
      <c r="C15" s="16" t="s">
        <v>17</v>
      </c>
      <c r="D15" s="22" t="s">
        <v>18</v>
      </c>
      <c r="F15" s="21" t="s">
        <v>16</v>
      </c>
      <c r="G15" s="16" t="s">
        <v>23</v>
      </c>
      <c r="H15" s="16" t="s">
        <v>24</v>
      </c>
      <c r="I15" s="22" t="s">
        <v>26</v>
      </c>
      <c r="K15" s="21">
        <v>12</v>
      </c>
      <c r="L15" s="16"/>
      <c r="M15" s="16"/>
      <c r="N15" s="22"/>
    </row>
    <row r="16" spans="2:14" ht="30.75" thickBot="1" x14ac:dyDescent="0.3">
      <c r="B16" s="12" t="s">
        <v>14</v>
      </c>
      <c r="C16" s="13">
        <f>IFERROR(VLOOKUP($B$16,Inventário!$B$3:$F$5,2,FALSE),"")</f>
        <v>2</v>
      </c>
      <c r="D16" s="14">
        <f>IFERROR(VLOOKUP($B$16,Inventário!$B$3:$F$5,3,FALSE),"")</f>
        <v>0</v>
      </c>
      <c r="F16" s="12" t="s">
        <v>27</v>
      </c>
      <c r="G16" s="13" t="str">
        <f>IFERROR(VLOOKUP($F$16,Inventário!$B$8:$H$13,2,FALSE),"")</f>
        <v>1d4</v>
      </c>
      <c r="H16" s="13">
        <f>IFERROR(VLOOKUP($F$16,Inventário!$B$8:$H$13,3,FALSE),"")</f>
        <v>0</v>
      </c>
      <c r="I16" s="14">
        <f>IFERROR(VLOOKUP($F$16,Inventário!$B$8:$H$13,4,FALSE),"")</f>
        <v>0</v>
      </c>
      <c r="K16" s="4">
        <v>13</v>
      </c>
      <c r="L16" s="5"/>
      <c r="M16" s="5"/>
      <c r="N16" s="6"/>
    </row>
    <row r="17" spans="11:14" ht="15.75" thickTop="1" x14ac:dyDescent="0.25">
      <c r="K17" s="21">
        <v>14</v>
      </c>
      <c r="L17" s="16"/>
      <c r="M17" s="16"/>
      <c r="N17" s="22"/>
    </row>
    <row r="18" spans="11:14" ht="15.75" customHeight="1" x14ac:dyDescent="0.25">
      <c r="K18" s="4">
        <v>15</v>
      </c>
      <c r="L18" s="5"/>
      <c r="M18" s="5"/>
      <c r="N18" s="6"/>
    </row>
    <row r="19" spans="11:14" x14ac:dyDescent="0.25">
      <c r="K19" s="21">
        <v>16</v>
      </c>
      <c r="L19" s="16"/>
      <c r="M19" s="16"/>
      <c r="N19" s="22"/>
    </row>
    <row r="20" spans="11:14" x14ac:dyDescent="0.25">
      <c r="K20" s="4">
        <v>17</v>
      </c>
      <c r="L20" s="5"/>
      <c r="M20" s="5"/>
      <c r="N20" s="6"/>
    </row>
    <row r="21" spans="11:14" x14ac:dyDescent="0.25">
      <c r="K21" s="21">
        <v>18</v>
      </c>
      <c r="L21" s="16"/>
      <c r="M21" s="16"/>
      <c r="N21" s="22"/>
    </row>
    <row r="22" spans="11:14" ht="15.75" customHeight="1" thickBot="1" x14ac:dyDescent="0.3">
      <c r="K22" s="12">
        <v>20</v>
      </c>
      <c r="L22" s="13"/>
      <c r="M22" s="13"/>
      <c r="N22" s="14"/>
    </row>
    <row r="23" spans="11:14" ht="16.5" thickTop="1" thickBot="1" x14ac:dyDescent="0.3"/>
    <row r="24" spans="11:14" ht="15.75" thickTop="1" x14ac:dyDescent="0.25">
      <c r="K24" s="76" t="s">
        <v>101</v>
      </c>
      <c r="L24" s="77"/>
    </row>
    <row r="25" spans="11:14" x14ac:dyDescent="0.25">
      <c r="K25" s="21" t="s">
        <v>1</v>
      </c>
      <c r="L25" s="22"/>
    </row>
    <row r="26" spans="11:14" ht="15.75" thickBot="1" x14ac:dyDescent="0.3">
      <c r="K26" s="12" t="s">
        <v>2</v>
      </c>
      <c r="L26" s="14"/>
    </row>
    <row r="27" spans="11:14" ht="15.75" thickTop="1" x14ac:dyDescent="0.25"/>
    <row r="41" ht="15.75" customHeight="1" x14ac:dyDescent="0.25"/>
  </sheetData>
  <mergeCells count="13">
    <mergeCell ref="K24:L24"/>
    <mergeCell ref="K2:N2"/>
    <mergeCell ref="B2:C2"/>
    <mergeCell ref="G2:H2"/>
    <mergeCell ref="B14:D14"/>
    <mergeCell ref="F14:I14"/>
    <mergeCell ref="B12:I12"/>
    <mergeCell ref="G9:H9"/>
    <mergeCell ref="G10:H10"/>
    <mergeCell ref="G8:H8"/>
    <mergeCell ref="G5:H5"/>
    <mergeCell ref="G6:H6"/>
    <mergeCell ref="G7:H7"/>
  </mergeCells>
  <phoneticPr fontId="1" type="noConversion"/>
  <pageMargins left="0.511811024" right="0.511811024" top="0.78740157499999996" bottom="0.78740157499999996" header="0.31496062000000002" footer="0.31496062000000002"/>
  <extLst>
    <ext xmlns:x14="http://schemas.microsoft.com/office/spreadsheetml/2009/9/main" uri="{CCE6A557-97BC-4b89-ADB6-D9C93CAAB3DF}">
      <x14:dataValidations xmlns:xm="http://schemas.microsoft.com/office/excel/2006/main" count="2">
        <x14:dataValidation type="list" allowBlank="1" showInputMessage="1" showErrorMessage="1" xr:uid="{5521CA3F-8320-49C1-B18B-A0E81E9CCB97}">
          <x14:formula1>
            <xm:f>Inventário!$B$4:$B$5</xm:f>
          </x14:formula1>
          <xm:sqref>B16</xm:sqref>
        </x14:dataValidation>
        <x14:dataValidation type="list" allowBlank="1" showInputMessage="1" showErrorMessage="1" xr:uid="{A9F736F0-2711-43DE-8250-6B8CAB984B22}">
          <x14:formula1>
            <xm:f>Inventário!$B$9:$B$13</xm:f>
          </x14:formula1>
          <xm:sqref>F16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5C619-6BB6-48E7-8DD7-18FA62F71394}">
  <dimension ref="A1:O23"/>
  <sheetViews>
    <sheetView workbookViewId="0">
      <selection activeCell="J28" sqref="J28"/>
    </sheetView>
  </sheetViews>
  <sheetFormatPr defaultRowHeight="15" x14ac:dyDescent="0.25"/>
  <cols>
    <col min="12" max="12" width="19.7109375" bestFit="1" customWidth="1"/>
    <col min="13" max="13" width="12.28515625" bestFit="1" customWidth="1"/>
    <col min="14" max="14" width="12.140625" bestFit="1" customWidth="1"/>
  </cols>
  <sheetData>
    <row r="1" spans="1:15" ht="16.5" thickTop="1" thickBot="1" x14ac:dyDescent="0.3">
      <c r="A1" s="79" t="s">
        <v>32</v>
      </c>
      <c r="B1" s="80"/>
      <c r="C1" s="80"/>
      <c r="D1" s="80"/>
      <c r="E1" s="80"/>
      <c r="F1" s="80"/>
      <c r="G1" s="81"/>
      <c r="I1" s="79" t="s">
        <v>165</v>
      </c>
      <c r="J1" s="80"/>
      <c r="K1" s="80"/>
      <c r="L1" s="80"/>
      <c r="M1" s="80"/>
      <c r="N1" s="80"/>
      <c r="O1" s="81"/>
    </row>
    <row r="2" spans="1:15" ht="16.5" thickTop="1" thickBot="1" x14ac:dyDescent="0.3"/>
    <row r="3" spans="1:15" ht="15.75" thickTop="1" x14ac:dyDescent="0.25">
      <c r="B3" s="76" t="s">
        <v>33</v>
      </c>
      <c r="C3" s="78"/>
      <c r="D3" s="78" t="s">
        <v>132</v>
      </c>
      <c r="E3" s="78"/>
      <c r="F3" s="3"/>
      <c r="K3" s="57" t="s">
        <v>138</v>
      </c>
      <c r="L3" s="58" t="s">
        <v>161</v>
      </c>
      <c r="M3" s="59" t="s">
        <v>17</v>
      </c>
    </row>
    <row r="4" spans="1:15" ht="15" customHeight="1" x14ac:dyDescent="0.25">
      <c r="B4" s="94" t="s">
        <v>34</v>
      </c>
      <c r="C4" s="82"/>
      <c r="D4" s="82" t="s">
        <v>125</v>
      </c>
      <c r="E4" s="82"/>
      <c r="F4" s="22" t="s">
        <v>131</v>
      </c>
      <c r="K4" s="60" t="s">
        <v>97</v>
      </c>
      <c r="L4" s="62" t="s">
        <v>162</v>
      </c>
      <c r="M4" s="63"/>
    </row>
    <row r="5" spans="1:15" ht="15" customHeight="1" x14ac:dyDescent="0.25">
      <c r="B5" s="95" t="s">
        <v>35</v>
      </c>
      <c r="C5" s="90"/>
      <c r="D5" s="93" t="s">
        <v>156</v>
      </c>
      <c r="E5" s="93"/>
      <c r="F5" s="6" t="s">
        <v>131</v>
      </c>
      <c r="K5" s="64" t="s">
        <v>97</v>
      </c>
      <c r="L5" s="65" t="s">
        <v>163</v>
      </c>
      <c r="M5" s="66"/>
    </row>
    <row r="6" spans="1:15" ht="15" customHeight="1" x14ac:dyDescent="0.25">
      <c r="B6" s="94" t="s">
        <v>36</v>
      </c>
      <c r="C6" s="88"/>
      <c r="D6" s="82" t="s">
        <v>128</v>
      </c>
      <c r="E6" s="82"/>
      <c r="F6" s="22" t="s">
        <v>131</v>
      </c>
      <c r="K6" s="60" t="s">
        <v>97</v>
      </c>
      <c r="L6" s="62" t="s">
        <v>164</v>
      </c>
      <c r="M6" s="63"/>
    </row>
    <row r="7" spans="1:15" x14ac:dyDescent="0.25">
      <c r="B7" s="95" t="s">
        <v>37</v>
      </c>
      <c r="C7" s="93"/>
      <c r="D7" s="93" t="s">
        <v>126</v>
      </c>
      <c r="E7" s="93"/>
      <c r="F7" s="6" t="s">
        <v>131</v>
      </c>
      <c r="K7" s="64" t="s">
        <v>159</v>
      </c>
      <c r="L7" s="65" t="s">
        <v>169</v>
      </c>
      <c r="M7" s="66"/>
    </row>
    <row r="8" spans="1:15" x14ac:dyDescent="0.25">
      <c r="B8" s="94" t="s">
        <v>38</v>
      </c>
      <c r="C8" s="82"/>
      <c r="D8" s="82" t="s">
        <v>127</v>
      </c>
      <c r="E8" s="82"/>
      <c r="F8" s="22" t="s">
        <v>131</v>
      </c>
      <c r="K8" s="60" t="s">
        <v>160</v>
      </c>
      <c r="L8" s="61" t="s">
        <v>124</v>
      </c>
      <c r="M8" s="63"/>
    </row>
    <row r="9" spans="1:15" x14ac:dyDescent="0.25">
      <c r="B9" s="95" t="s">
        <v>39</v>
      </c>
      <c r="C9" s="93"/>
      <c r="D9" s="93" t="s">
        <v>154</v>
      </c>
      <c r="E9" s="93"/>
      <c r="F9" s="6" t="s">
        <v>131</v>
      </c>
      <c r="K9" s="64"/>
      <c r="L9" s="65"/>
      <c r="M9" s="66"/>
    </row>
    <row r="10" spans="1:15" ht="15" customHeight="1" x14ac:dyDescent="0.25">
      <c r="B10" s="94" t="s">
        <v>40</v>
      </c>
      <c r="C10" s="82"/>
      <c r="D10" s="82" t="s">
        <v>129</v>
      </c>
      <c r="E10" s="82"/>
      <c r="F10" s="22" t="s">
        <v>131</v>
      </c>
      <c r="K10" s="60"/>
      <c r="L10" s="62"/>
      <c r="M10" s="63"/>
    </row>
    <row r="11" spans="1:15" x14ac:dyDescent="0.25">
      <c r="B11" s="95" t="s">
        <v>41</v>
      </c>
      <c r="C11" s="93"/>
      <c r="D11" s="93" t="s">
        <v>155</v>
      </c>
      <c r="E11" s="93"/>
      <c r="F11" s="6" t="s">
        <v>131</v>
      </c>
      <c r="K11" s="64"/>
      <c r="L11" s="65"/>
      <c r="M11" s="66"/>
    </row>
    <row r="12" spans="1:15" x14ac:dyDescent="0.25">
      <c r="B12" s="94" t="s">
        <v>42</v>
      </c>
      <c r="C12" s="82"/>
      <c r="D12" s="82" t="s">
        <v>130</v>
      </c>
      <c r="E12" s="82"/>
      <c r="F12" s="22" t="s">
        <v>131</v>
      </c>
      <c r="K12" s="60"/>
      <c r="L12" s="62"/>
      <c r="M12" s="63"/>
    </row>
    <row r="13" spans="1:15" x14ac:dyDescent="0.25">
      <c r="B13" s="95" t="s">
        <v>85</v>
      </c>
      <c r="C13" s="93"/>
      <c r="D13" s="93" t="s">
        <v>166</v>
      </c>
      <c r="E13" s="93"/>
      <c r="F13" s="6" t="s">
        <v>167</v>
      </c>
      <c r="G13" s="71"/>
      <c r="K13" s="64"/>
      <c r="L13" s="65"/>
      <c r="M13" s="66"/>
    </row>
    <row r="14" spans="1:15" x14ac:dyDescent="0.25">
      <c r="B14" s="94" t="s">
        <v>86</v>
      </c>
      <c r="C14" s="82"/>
      <c r="D14" s="82"/>
      <c r="E14" s="82"/>
      <c r="F14" s="22"/>
      <c r="K14" s="60"/>
      <c r="L14" s="62"/>
      <c r="M14" s="63"/>
    </row>
    <row r="15" spans="1:15" x14ac:dyDescent="0.25">
      <c r="B15" s="95" t="s">
        <v>87</v>
      </c>
      <c r="C15" s="93"/>
      <c r="D15" s="93"/>
      <c r="E15" s="93"/>
      <c r="F15" s="6"/>
      <c r="K15" s="64"/>
      <c r="L15" s="65"/>
      <c r="M15" s="66"/>
    </row>
    <row r="16" spans="1:15" x14ac:dyDescent="0.25">
      <c r="B16" s="94" t="s">
        <v>88</v>
      </c>
      <c r="C16" s="82"/>
      <c r="D16" s="82"/>
      <c r="E16" s="82"/>
      <c r="F16" s="22"/>
      <c r="K16" s="60"/>
      <c r="L16" s="62"/>
      <c r="M16" s="63"/>
    </row>
    <row r="17" spans="2:13" x14ac:dyDescent="0.25">
      <c r="B17" s="95" t="s">
        <v>84</v>
      </c>
      <c r="C17" s="93"/>
      <c r="D17" s="93"/>
      <c r="E17" s="93"/>
      <c r="F17" s="6"/>
      <c r="K17" s="64"/>
      <c r="L17" s="65"/>
      <c r="M17" s="66"/>
    </row>
    <row r="18" spans="2:13" x14ac:dyDescent="0.25">
      <c r="B18" s="94" t="s">
        <v>89</v>
      </c>
      <c r="C18" s="82"/>
      <c r="D18" s="82"/>
      <c r="E18" s="82"/>
      <c r="F18" s="22"/>
      <c r="K18" s="60"/>
      <c r="L18" s="62"/>
      <c r="M18" s="63"/>
    </row>
    <row r="19" spans="2:13" x14ac:dyDescent="0.25">
      <c r="B19" s="95" t="s">
        <v>90</v>
      </c>
      <c r="C19" s="93"/>
      <c r="D19" s="93"/>
      <c r="E19" s="93"/>
      <c r="F19" s="6"/>
      <c r="K19" s="64"/>
      <c r="L19" s="65"/>
      <c r="M19" s="66"/>
    </row>
    <row r="20" spans="2:13" x14ac:dyDescent="0.25">
      <c r="B20" s="94" t="s">
        <v>91</v>
      </c>
      <c r="C20" s="82"/>
      <c r="D20" s="82"/>
      <c r="E20" s="82"/>
      <c r="F20" s="22"/>
      <c r="K20" s="60"/>
      <c r="L20" s="62"/>
      <c r="M20" s="63"/>
    </row>
    <row r="21" spans="2:13" x14ac:dyDescent="0.25">
      <c r="B21" s="95" t="s">
        <v>92</v>
      </c>
      <c r="C21" s="93"/>
      <c r="D21" s="93"/>
      <c r="E21" s="93"/>
      <c r="F21" s="6"/>
      <c r="K21" s="64"/>
      <c r="L21" s="65"/>
      <c r="M21" s="66"/>
    </row>
    <row r="22" spans="2:13" ht="15.75" thickBot="1" x14ac:dyDescent="0.3">
      <c r="B22" s="96" t="s">
        <v>93</v>
      </c>
      <c r="C22" s="92"/>
      <c r="D22" s="92"/>
      <c r="E22" s="92"/>
      <c r="F22" s="24"/>
      <c r="K22" s="67"/>
      <c r="L22" s="68"/>
      <c r="M22" s="69"/>
    </row>
    <row r="23" spans="2:13" ht="15.75" thickTop="1" x14ac:dyDescent="0.25"/>
  </sheetData>
  <mergeCells count="42">
    <mergeCell ref="B17:C17"/>
    <mergeCell ref="B9:C9"/>
    <mergeCell ref="B10:C10"/>
    <mergeCell ref="B11:C11"/>
    <mergeCell ref="B12:C12"/>
    <mergeCell ref="B13:C13"/>
    <mergeCell ref="I1:O1"/>
    <mergeCell ref="B5:C5"/>
    <mergeCell ref="B14:C14"/>
    <mergeCell ref="B15:C15"/>
    <mergeCell ref="B16:C16"/>
    <mergeCell ref="D13:E13"/>
    <mergeCell ref="D15:E15"/>
    <mergeCell ref="D14:E14"/>
    <mergeCell ref="D8:E8"/>
    <mergeCell ref="D7:E7"/>
    <mergeCell ref="D9:E9"/>
    <mergeCell ref="D10:E10"/>
    <mergeCell ref="D12:E12"/>
    <mergeCell ref="D11:E11"/>
    <mergeCell ref="B19:C19"/>
    <mergeCell ref="B20:C20"/>
    <mergeCell ref="D20:E20"/>
    <mergeCell ref="D21:E21"/>
    <mergeCell ref="D18:E18"/>
    <mergeCell ref="D19:E19"/>
    <mergeCell ref="D22:E22"/>
    <mergeCell ref="D16:E16"/>
    <mergeCell ref="D17:E17"/>
    <mergeCell ref="A1:G1"/>
    <mergeCell ref="D6:E6"/>
    <mergeCell ref="D3:E3"/>
    <mergeCell ref="B4:C4"/>
    <mergeCell ref="B3:C3"/>
    <mergeCell ref="B8:C8"/>
    <mergeCell ref="D4:E4"/>
    <mergeCell ref="D5:E5"/>
    <mergeCell ref="B7:C7"/>
    <mergeCell ref="B6:C6"/>
    <mergeCell ref="B21:C21"/>
    <mergeCell ref="B22:C22"/>
    <mergeCell ref="B18:C18"/>
  </mergeCells>
  <pageMargins left="0.511811024" right="0.511811024" top="0.78740157499999996" bottom="0.78740157499999996" header="0.31496062000000002" footer="0.31496062000000002"/>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A4931-6B69-40CB-A1AC-62EB079295A3}">
  <dimension ref="B1:H32"/>
  <sheetViews>
    <sheetView zoomScaleNormal="100" workbookViewId="0">
      <selection activeCell="H13" sqref="H13"/>
    </sheetView>
  </sheetViews>
  <sheetFormatPr defaultRowHeight="15" x14ac:dyDescent="0.25"/>
  <cols>
    <col min="2" max="2" width="13.85546875" bestFit="1" customWidth="1"/>
    <col min="7" max="7" width="8.42578125" bestFit="1" customWidth="1"/>
  </cols>
  <sheetData>
    <row r="1" spans="2:8" ht="15.75" thickBot="1" x14ac:dyDescent="0.3"/>
    <row r="2" spans="2:8" ht="15.75" thickTop="1" x14ac:dyDescent="0.25">
      <c r="B2" s="2" t="s">
        <v>0</v>
      </c>
      <c r="C2" s="27" t="s">
        <v>105</v>
      </c>
      <c r="D2" s="27" t="s">
        <v>106</v>
      </c>
      <c r="E2" s="3" t="s">
        <v>30</v>
      </c>
      <c r="G2" s="97" t="s">
        <v>105</v>
      </c>
      <c r="H2" s="98"/>
    </row>
    <row r="3" spans="2:8" ht="15.75" thickBot="1" x14ac:dyDescent="0.3">
      <c r="B3" s="21" t="str">
        <f>Tabela1[[#This Row],[Perícia]]</f>
        <v>Acrobacia</v>
      </c>
      <c r="C3" s="16">
        <f>Tabela1[[#This Row],[Total]]</f>
        <v>3</v>
      </c>
      <c r="D3" s="16">
        <f ca="1">RANDBETWEEN(1,20)</f>
        <v>8</v>
      </c>
      <c r="E3" s="22">
        <f ca="1">SUM(C3:D3)</f>
        <v>11</v>
      </c>
      <c r="G3" s="23" t="s">
        <v>71</v>
      </c>
      <c r="H3" s="24">
        <f ca="1">VLOOKUP(G3,B2:E31,4,FALSE)</f>
        <v>25</v>
      </c>
    </row>
    <row r="4" spans="2:8" ht="15.75" thickTop="1" x14ac:dyDescent="0.25">
      <c r="B4" s="4" t="str">
        <f>Tabela1[[#This Row],[Perícia]]</f>
        <v>Adestramento</v>
      </c>
      <c r="C4" s="5">
        <f>Tabela1[[#This Row],[Total]]</f>
        <v>2</v>
      </c>
      <c r="D4" s="5">
        <f t="shared" ref="D4:D31" ca="1" si="0">RANDBETWEEN(1,20)</f>
        <v>9</v>
      </c>
      <c r="E4" s="6">
        <f t="shared" ref="E4:E31" ca="1" si="1">SUM(C4:D4)</f>
        <v>11</v>
      </c>
    </row>
    <row r="5" spans="2:8" x14ac:dyDescent="0.25">
      <c r="B5" s="21" t="str">
        <f>Tabela1[[#This Row],[Perícia]]</f>
        <v>Atletismo</v>
      </c>
      <c r="C5" s="16">
        <f>Tabela1[[#This Row],[Total]]</f>
        <v>4</v>
      </c>
      <c r="D5" s="16">
        <f t="shared" ca="1" si="0"/>
        <v>4</v>
      </c>
      <c r="E5" s="22">
        <f t="shared" ca="1" si="1"/>
        <v>8</v>
      </c>
    </row>
    <row r="6" spans="2:8" x14ac:dyDescent="0.25">
      <c r="B6" s="4" t="str">
        <f>Tabela1[[#This Row],[Perícia]]</f>
        <v>Atuação</v>
      </c>
      <c r="C6" s="5">
        <f>Tabela1[[#This Row],[Total]]</f>
        <v>2</v>
      </c>
      <c r="D6" s="5">
        <f t="shared" ca="1" si="0"/>
        <v>9</v>
      </c>
      <c r="E6" s="6">
        <f t="shared" ca="1" si="1"/>
        <v>11</v>
      </c>
    </row>
    <row r="7" spans="2:8" x14ac:dyDescent="0.25">
      <c r="B7" s="21" t="str">
        <f>Tabela1[[#This Row],[Perícia]]</f>
        <v>Cavalgar</v>
      </c>
      <c r="C7" s="16">
        <f>Tabela1[[#This Row],[Total]]</f>
        <v>3</v>
      </c>
      <c r="D7" s="16">
        <f t="shared" ca="1" si="0"/>
        <v>11</v>
      </c>
      <c r="E7" s="22">
        <f t="shared" ca="1" si="1"/>
        <v>14</v>
      </c>
    </row>
    <row r="8" spans="2:8" x14ac:dyDescent="0.25">
      <c r="B8" s="4" t="str">
        <f>Tabela1[[#This Row],[Perícia]]</f>
        <v>Conhecimento</v>
      </c>
      <c r="C8" s="5">
        <f>Tabela1[[#This Row],[Total]]</f>
        <v>9</v>
      </c>
      <c r="D8" s="5">
        <f t="shared" ca="1" si="0"/>
        <v>13</v>
      </c>
      <c r="E8" s="6">
        <f t="shared" ca="1" si="1"/>
        <v>22</v>
      </c>
    </row>
    <row r="9" spans="2:8" x14ac:dyDescent="0.25">
      <c r="B9" s="21" t="str">
        <f>Tabela1[[#This Row],[Perícia]]</f>
        <v>Cura</v>
      </c>
      <c r="C9" s="16">
        <f>Tabela1[[#This Row],[Total]]</f>
        <v>7</v>
      </c>
      <c r="D9" s="16">
        <f t="shared" ca="1" si="0"/>
        <v>20</v>
      </c>
      <c r="E9" s="22">
        <f t="shared" ca="1" si="1"/>
        <v>27</v>
      </c>
    </row>
    <row r="10" spans="2:8" x14ac:dyDescent="0.25">
      <c r="B10" s="4" t="str">
        <f>Tabela1[[#This Row],[Perícia]]</f>
        <v>Diplomacia</v>
      </c>
      <c r="C10" s="5">
        <f>Tabela1[[#This Row],[Total]]</f>
        <v>2</v>
      </c>
      <c r="D10" s="5">
        <f t="shared" ca="1" si="0"/>
        <v>1</v>
      </c>
      <c r="E10" s="6">
        <f t="shared" ca="1" si="1"/>
        <v>3</v>
      </c>
    </row>
    <row r="11" spans="2:8" x14ac:dyDescent="0.25">
      <c r="B11" s="21" t="str">
        <f>Tabela1[[#This Row],[Perícia]]</f>
        <v>Enganação</v>
      </c>
      <c r="C11" s="16">
        <f>Tabela1[[#This Row],[Total]]</f>
        <v>2</v>
      </c>
      <c r="D11" s="16">
        <f t="shared" ca="1" si="0"/>
        <v>6</v>
      </c>
      <c r="E11" s="22">
        <f t="shared" ca="1" si="1"/>
        <v>8</v>
      </c>
    </row>
    <row r="12" spans="2:8" x14ac:dyDescent="0.25">
      <c r="B12" s="4" t="str">
        <f>Tabela1[[#This Row],[Perícia]]</f>
        <v>Fortitude</v>
      </c>
      <c r="C12" s="5">
        <f>Tabela1[[#This Row],[Total]]</f>
        <v>4</v>
      </c>
      <c r="D12" s="5">
        <f t="shared" ca="1" si="0"/>
        <v>8</v>
      </c>
      <c r="E12" s="6">
        <f t="shared" ca="1" si="1"/>
        <v>12</v>
      </c>
    </row>
    <row r="13" spans="2:8" x14ac:dyDescent="0.25">
      <c r="B13" s="21" t="str">
        <f>Tabela1[[#This Row],[Perícia]]</f>
        <v>Furtividade</v>
      </c>
      <c r="C13" s="16">
        <f>Tabela1[[#This Row],[Total]]</f>
        <v>3</v>
      </c>
      <c r="D13" s="16">
        <f t="shared" ca="1" si="0"/>
        <v>20</v>
      </c>
      <c r="E13" s="22">
        <f t="shared" ca="1" si="1"/>
        <v>23</v>
      </c>
    </row>
    <row r="14" spans="2:8" x14ac:dyDescent="0.25">
      <c r="B14" s="4" t="str">
        <f>Tabela1[[#This Row],[Perícia]]</f>
        <v>Guerra</v>
      </c>
      <c r="C14" s="5">
        <f>Tabela1[[#This Row],[Total]]</f>
        <v>9</v>
      </c>
      <c r="D14" s="5">
        <f t="shared" ca="1" si="0"/>
        <v>19</v>
      </c>
      <c r="E14" s="6">
        <f t="shared" ca="1" si="1"/>
        <v>28</v>
      </c>
    </row>
    <row r="15" spans="2:8" x14ac:dyDescent="0.25">
      <c r="B15" s="21" t="str">
        <f>Tabela1[[#This Row],[Perícia]]</f>
        <v>Iniciativa</v>
      </c>
      <c r="C15" s="16">
        <f>Tabela1[[#This Row],[Total]]</f>
        <v>3</v>
      </c>
      <c r="D15" s="16">
        <f t="shared" ca="1" si="0"/>
        <v>12</v>
      </c>
      <c r="E15" s="22">
        <f t="shared" ca="1" si="1"/>
        <v>15</v>
      </c>
    </row>
    <row r="16" spans="2:8" x14ac:dyDescent="0.25">
      <c r="B16" s="4" t="str">
        <f>Tabela1[[#This Row],[Perícia]]</f>
        <v>Intimidação</v>
      </c>
      <c r="C16" s="5">
        <f>Tabela1[[#This Row],[Total]]</f>
        <v>2</v>
      </c>
      <c r="D16" s="5">
        <f t="shared" ca="1" si="0"/>
        <v>12</v>
      </c>
      <c r="E16" s="6">
        <f t="shared" ca="1" si="1"/>
        <v>14</v>
      </c>
    </row>
    <row r="17" spans="2:5" x14ac:dyDescent="0.25">
      <c r="B17" s="21" t="str">
        <f>Tabela1[[#This Row],[Perícia]]</f>
        <v>Intuição</v>
      </c>
      <c r="C17" s="16">
        <f>Tabela1[[#This Row],[Total]]</f>
        <v>5</v>
      </c>
      <c r="D17" s="16">
        <f t="shared" ca="1" si="0"/>
        <v>19</v>
      </c>
      <c r="E17" s="22">
        <f t="shared" ca="1" si="1"/>
        <v>24</v>
      </c>
    </row>
    <row r="18" spans="2:5" x14ac:dyDescent="0.25">
      <c r="B18" s="4" t="str">
        <f>Tabela1[[#This Row],[Perícia]]</f>
        <v>Investigação</v>
      </c>
      <c r="C18" s="5">
        <f>Tabela1[[#This Row],[Total]]</f>
        <v>9</v>
      </c>
      <c r="D18" s="5">
        <f t="shared" ca="1" si="0"/>
        <v>16</v>
      </c>
      <c r="E18" s="6">
        <f t="shared" ca="1" si="1"/>
        <v>25</v>
      </c>
    </row>
    <row r="19" spans="2:5" x14ac:dyDescent="0.25">
      <c r="B19" s="21" t="str">
        <f>Tabela1[[#This Row],[Perícia]]</f>
        <v>Jogatina</v>
      </c>
      <c r="C19" s="16">
        <f>Tabela1[[#This Row],[Total]]</f>
        <v>2</v>
      </c>
      <c r="D19" s="16">
        <f t="shared" ca="1" si="0"/>
        <v>18</v>
      </c>
      <c r="E19" s="22">
        <f t="shared" ca="1" si="1"/>
        <v>20</v>
      </c>
    </row>
    <row r="20" spans="2:5" x14ac:dyDescent="0.25">
      <c r="B20" s="4" t="str">
        <f>Tabela1[[#This Row],[Perícia]]</f>
        <v>Ladinagem</v>
      </c>
      <c r="C20" s="5">
        <f>Tabela1[[#This Row],[Total]]</f>
        <v>3</v>
      </c>
      <c r="D20" s="5">
        <f t="shared" ca="1" si="0"/>
        <v>9</v>
      </c>
      <c r="E20" s="6">
        <f t="shared" ca="1" si="1"/>
        <v>12</v>
      </c>
    </row>
    <row r="21" spans="2:5" x14ac:dyDescent="0.25">
      <c r="B21" s="21" t="str">
        <f>Tabela1[[#This Row],[Perícia]]</f>
        <v>Luta</v>
      </c>
      <c r="C21" s="16">
        <f>Tabela1[[#This Row],[Total]]</f>
        <v>6</v>
      </c>
      <c r="D21" s="16">
        <f t="shared" ca="1" si="0"/>
        <v>19</v>
      </c>
      <c r="E21" s="22">
        <f t="shared" ca="1" si="1"/>
        <v>25</v>
      </c>
    </row>
    <row r="22" spans="2:5" x14ac:dyDescent="0.25">
      <c r="B22" s="4" t="str">
        <f>Tabela1[[#This Row],[Perícia]]</f>
        <v>Misticismo</v>
      </c>
      <c r="C22" s="5">
        <f>Tabela1[[#This Row],[Total]]</f>
        <v>11</v>
      </c>
      <c r="D22" s="5">
        <f t="shared" ca="1" si="0"/>
        <v>11</v>
      </c>
      <c r="E22" s="6">
        <f t="shared" ca="1" si="1"/>
        <v>22</v>
      </c>
    </row>
    <row r="23" spans="2:5" x14ac:dyDescent="0.25">
      <c r="B23" s="21" t="str">
        <f>Tabela1[[#This Row],[Perícia]]</f>
        <v>Nobreza</v>
      </c>
      <c r="C23" s="16">
        <f>Tabela1[[#This Row],[Total]]</f>
        <v>7</v>
      </c>
      <c r="D23" s="16">
        <f t="shared" ca="1" si="0"/>
        <v>17</v>
      </c>
      <c r="E23" s="22">
        <f t="shared" ca="1" si="1"/>
        <v>24</v>
      </c>
    </row>
    <row r="24" spans="2:5" ht="30" x14ac:dyDescent="0.25">
      <c r="B24" s="4" t="str">
        <f>Tabela1[[#This Row],[Perícia]]</f>
        <v>Ofício (Alquimista)</v>
      </c>
      <c r="C24" s="5">
        <f>Tabela1[[#This Row],[Total]]</f>
        <v>9</v>
      </c>
      <c r="D24" s="5">
        <f t="shared" ca="1" si="0"/>
        <v>18</v>
      </c>
      <c r="E24" s="6">
        <f t="shared" ca="1" si="1"/>
        <v>27</v>
      </c>
    </row>
    <row r="25" spans="2:5" ht="28.5" x14ac:dyDescent="0.25">
      <c r="B25" s="21" t="str">
        <f>Tabela1[[#This Row],[Perícia]]</f>
        <v>Ofício (Armeiro)</v>
      </c>
      <c r="C25" s="16">
        <f>Tabela1[[#This Row],[Total]]</f>
        <v>9</v>
      </c>
      <c r="D25" s="16">
        <f t="shared" ca="1" si="0"/>
        <v>7</v>
      </c>
      <c r="E25" s="22">
        <f t="shared" ca="1" si="1"/>
        <v>16</v>
      </c>
    </row>
    <row r="26" spans="2:5" ht="45" x14ac:dyDescent="0.25">
      <c r="B26" s="4" t="str">
        <f>Tabela1[[#This Row],[Perícia]]</f>
        <v>Ofício (Engenhoqueiro)</v>
      </c>
      <c r="C26" s="5">
        <f>Tabela1[[#This Row],[Total]]</f>
        <v>9</v>
      </c>
      <c r="D26" s="5">
        <f t="shared" ca="1" si="0"/>
        <v>10</v>
      </c>
      <c r="E26" s="6">
        <f t="shared" ca="1" si="1"/>
        <v>19</v>
      </c>
    </row>
    <row r="27" spans="2:5" x14ac:dyDescent="0.25">
      <c r="B27" s="21" t="str">
        <f>Tabela1[[#This Row],[Perícia]]</f>
        <v>Percepção</v>
      </c>
      <c r="C27" s="16">
        <f>Tabela1[[#This Row],[Total]]</f>
        <v>9</v>
      </c>
      <c r="D27" s="16">
        <f t="shared" ca="1" si="0"/>
        <v>4</v>
      </c>
      <c r="E27" s="22">
        <f t="shared" ca="1" si="1"/>
        <v>13</v>
      </c>
    </row>
    <row r="28" spans="2:5" x14ac:dyDescent="0.25">
      <c r="B28" s="4" t="str">
        <f>Tabela1[[#This Row],[Perícia]]</f>
        <v>Pilotagem</v>
      </c>
      <c r="C28" s="5">
        <f>Tabela1[[#This Row],[Total]]</f>
        <v>3</v>
      </c>
      <c r="D28" s="5">
        <f t="shared" ca="1" si="0"/>
        <v>3</v>
      </c>
      <c r="E28" s="6">
        <f t="shared" ca="1" si="1"/>
        <v>6</v>
      </c>
    </row>
    <row r="29" spans="2:5" x14ac:dyDescent="0.25">
      <c r="B29" s="21" t="str">
        <f>Tabela1[[#This Row],[Perícia]]</f>
        <v>Pontaria</v>
      </c>
      <c r="C29" s="16">
        <f>Tabela1[[#This Row],[Total]]</f>
        <v>3</v>
      </c>
      <c r="D29" s="16">
        <f t="shared" ca="1" si="0"/>
        <v>14</v>
      </c>
      <c r="E29" s="22">
        <f t="shared" ca="1" si="1"/>
        <v>17</v>
      </c>
    </row>
    <row r="30" spans="2:5" x14ac:dyDescent="0.25">
      <c r="B30" s="4" t="str">
        <f>Tabela1[[#This Row],[Perícia]]</f>
        <v>Reflexos</v>
      </c>
      <c r="C30" s="5">
        <f>Tabela1[[#This Row],[Total]]</f>
        <v>5</v>
      </c>
      <c r="D30" s="5">
        <f t="shared" ca="1" si="0"/>
        <v>2</v>
      </c>
      <c r="E30" s="6">
        <f t="shared" ca="1" si="1"/>
        <v>7</v>
      </c>
    </row>
    <row r="31" spans="2:5" ht="15.75" thickBot="1" x14ac:dyDescent="0.3">
      <c r="B31" s="23" t="str">
        <f>Tabela1[[#This Row],[Perícia]]</f>
        <v>Religião</v>
      </c>
      <c r="C31" s="25">
        <f>Tabela1[[#This Row],[Total]]</f>
        <v>5</v>
      </c>
      <c r="D31" s="25">
        <f t="shared" ca="1" si="0"/>
        <v>14</v>
      </c>
      <c r="E31" s="24">
        <f t="shared" ca="1" si="1"/>
        <v>19</v>
      </c>
    </row>
    <row r="32" spans="2:5" ht="15.75" thickTop="1" x14ac:dyDescent="0.25"/>
  </sheetData>
  <mergeCells count="1">
    <mergeCell ref="G2:H2"/>
  </mergeCells>
  <dataValidations count="1">
    <dataValidation type="list" allowBlank="1" showInputMessage="1" showErrorMessage="1" sqref="G3" xr:uid="{B0557C4D-6A76-4A09-A415-E9C68FD3C81C}">
      <formula1>$B$2:$B$31</formula1>
    </dataValidation>
  </dataValidation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3B865-F296-4A33-AB14-CDFD2F1BA81B}">
  <dimension ref="B1:H35"/>
  <sheetViews>
    <sheetView workbookViewId="0">
      <selection activeCell="F4" sqref="F4"/>
    </sheetView>
  </sheetViews>
  <sheetFormatPr defaultRowHeight="15" x14ac:dyDescent="0.25"/>
  <cols>
    <col min="2" max="2" width="23.28515625" bestFit="1" customWidth="1"/>
    <col min="3" max="3" width="15.42578125" customWidth="1"/>
    <col min="4" max="4" width="11.85546875" bestFit="1" customWidth="1"/>
    <col min="5" max="5" width="10.5703125" bestFit="1" customWidth="1"/>
  </cols>
  <sheetData>
    <row r="1" spans="2:8" ht="15.75" thickBot="1" x14ac:dyDescent="0.3"/>
    <row r="2" spans="2:8" ht="15.75" thickTop="1" x14ac:dyDescent="0.25">
      <c r="B2" s="9" t="s">
        <v>133</v>
      </c>
      <c r="C2" s="9" t="s">
        <v>138</v>
      </c>
      <c r="D2" s="10" t="s">
        <v>134</v>
      </c>
      <c r="E2" s="47" t="s">
        <v>135</v>
      </c>
      <c r="G2" s="76" t="s">
        <v>136</v>
      </c>
      <c r="H2" s="77"/>
    </row>
    <row r="3" spans="2:8" x14ac:dyDescent="0.25">
      <c r="B3" s="48" t="s">
        <v>137</v>
      </c>
      <c r="C3" s="48" t="s">
        <v>139</v>
      </c>
      <c r="D3" s="16">
        <v>1</v>
      </c>
      <c r="E3" s="17">
        <f t="shared" ref="E3:E35" si="0">IFERROR(VLOOKUP(D3,$G$3:$H$7,2,FALSE)^2*10,"")</f>
        <v>10</v>
      </c>
      <c r="F3">
        <v>1</v>
      </c>
      <c r="G3" s="21">
        <v>1</v>
      </c>
      <c r="H3" s="22">
        <v>1</v>
      </c>
    </row>
    <row r="4" spans="2:8" x14ac:dyDescent="0.25">
      <c r="B4" s="44" t="s">
        <v>140</v>
      </c>
      <c r="C4" s="7" t="s">
        <v>139</v>
      </c>
      <c r="D4" s="5">
        <v>1</v>
      </c>
      <c r="E4" s="8">
        <f t="shared" si="0"/>
        <v>10</v>
      </c>
      <c r="F4">
        <v>1</v>
      </c>
      <c r="G4" s="4">
        <v>2</v>
      </c>
      <c r="H4" s="6">
        <v>3</v>
      </c>
    </row>
    <row r="5" spans="2:8" x14ac:dyDescent="0.25">
      <c r="B5" s="48" t="s">
        <v>141</v>
      </c>
      <c r="C5" s="15" t="s">
        <v>142</v>
      </c>
      <c r="D5" s="16">
        <v>1</v>
      </c>
      <c r="E5" s="17">
        <f t="shared" si="0"/>
        <v>10</v>
      </c>
      <c r="G5" s="21">
        <v>3</v>
      </c>
      <c r="H5" s="22">
        <v>6</v>
      </c>
    </row>
    <row r="6" spans="2:8" x14ac:dyDescent="0.25">
      <c r="B6" s="44" t="s">
        <v>143</v>
      </c>
      <c r="C6" s="7" t="s">
        <v>142</v>
      </c>
      <c r="D6" s="5">
        <v>1</v>
      </c>
      <c r="E6" s="8">
        <f t="shared" si="0"/>
        <v>10</v>
      </c>
      <c r="G6" s="4">
        <v>4</v>
      </c>
      <c r="H6" s="6">
        <v>10</v>
      </c>
    </row>
    <row r="7" spans="2:8" ht="15.75" thickBot="1" x14ac:dyDescent="0.3">
      <c r="B7" s="48" t="s">
        <v>144</v>
      </c>
      <c r="C7" s="15" t="s">
        <v>142</v>
      </c>
      <c r="D7" s="16">
        <v>1</v>
      </c>
      <c r="E7" s="17">
        <f t="shared" si="0"/>
        <v>10</v>
      </c>
      <c r="G7" s="23">
        <v>5</v>
      </c>
      <c r="H7" s="24">
        <v>15</v>
      </c>
    </row>
    <row r="8" spans="2:8" ht="15.75" thickTop="1" x14ac:dyDescent="0.25">
      <c r="B8" s="44" t="s">
        <v>145</v>
      </c>
      <c r="C8" s="7" t="s">
        <v>142</v>
      </c>
      <c r="D8" s="5">
        <v>1</v>
      </c>
      <c r="E8" s="8">
        <f t="shared" si="0"/>
        <v>10</v>
      </c>
    </row>
    <row r="9" spans="2:8" x14ac:dyDescent="0.25">
      <c r="B9" s="48" t="s">
        <v>146</v>
      </c>
      <c r="C9" s="15" t="s">
        <v>142</v>
      </c>
      <c r="D9" s="16">
        <v>1</v>
      </c>
      <c r="E9" s="17">
        <f t="shared" si="0"/>
        <v>10</v>
      </c>
    </row>
    <row r="10" spans="2:8" x14ac:dyDescent="0.25">
      <c r="B10" s="44" t="s">
        <v>147</v>
      </c>
      <c r="C10" s="7" t="s">
        <v>139</v>
      </c>
      <c r="D10" s="5">
        <v>1</v>
      </c>
      <c r="E10" s="8">
        <f t="shared" si="0"/>
        <v>10</v>
      </c>
    </row>
    <row r="11" spans="2:8" x14ac:dyDescent="0.25">
      <c r="B11" s="48" t="s">
        <v>148</v>
      </c>
      <c r="C11" s="15" t="s">
        <v>142</v>
      </c>
      <c r="D11" s="16">
        <v>2</v>
      </c>
      <c r="E11" s="17">
        <f t="shared" si="0"/>
        <v>90</v>
      </c>
    </row>
    <row r="12" spans="2:8" x14ac:dyDescent="0.25">
      <c r="B12" s="44" t="s">
        <v>149</v>
      </c>
      <c r="C12" s="7" t="s">
        <v>142</v>
      </c>
      <c r="D12" s="5">
        <v>1</v>
      </c>
      <c r="E12" s="8">
        <f t="shared" si="0"/>
        <v>10</v>
      </c>
    </row>
    <row r="13" spans="2:8" x14ac:dyDescent="0.25">
      <c r="B13" s="48" t="s">
        <v>150</v>
      </c>
      <c r="C13" s="15" t="s">
        <v>139</v>
      </c>
      <c r="D13" s="16">
        <v>2</v>
      </c>
      <c r="E13" s="17">
        <f t="shared" si="0"/>
        <v>90</v>
      </c>
    </row>
    <row r="14" spans="2:8" x14ac:dyDescent="0.25">
      <c r="B14" s="44" t="s">
        <v>151</v>
      </c>
      <c r="C14" s="7" t="s">
        <v>139</v>
      </c>
      <c r="D14" s="5">
        <v>2</v>
      </c>
      <c r="E14" s="8">
        <f t="shared" si="0"/>
        <v>90</v>
      </c>
    </row>
    <row r="15" spans="2:8" x14ac:dyDescent="0.25">
      <c r="B15" s="48" t="s">
        <v>96</v>
      </c>
      <c r="C15" s="15" t="s">
        <v>152</v>
      </c>
      <c r="D15" s="16">
        <v>2</v>
      </c>
      <c r="E15" s="17">
        <f t="shared" si="0"/>
        <v>90</v>
      </c>
    </row>
    <row r="16" spans="2:8" x14ac:dyDescent="0.25">
      <c r="B16" s="44" t="s">
        <v>153</v>
      </c>
      <c r="C16" s="7" t="s">
        <v>142</v>
      </c>
      <c r="D16" s="5">
        <v>3</v>
      </c>
      <c r="E16" s="8">
        <f t="shared" si="0"/>
        <v>360</v>
      </c>
    </row>
    <row r="17" spans="2:5" x14ac:dyDescent="0.25">
      <c r="B17" s="48"/>
      <c r="C17" s="15"/>
      <c r="D17" s="16"/>
      <c r="E17" s="17" t="str">
        <f t="shared" si="0"/>
        <v/>
      </c>
    </row>
    <row r="18" spans="2:5" x14ac:dyDescent="0.25">
      <c r="B18" s="44"/>
      <c r="C18" s="7"/>
      <c r="D18" s="5"/>
      <c r="E18" s="8" t="str">
        <f t="shared" si="0"/>
        <v/>
      </c>
    </row>
    <row r="19" spans="2:5" x14ac:dyDescent="0.25">
      <c r="B19" s="48"/>
      <c r="C19" s="15"/>
      <c r="D19" s="16"/>
      <c r="E19" s="17" t="str">
        <f t="shared" si="0"/>
        <v/>
      </c>
    </row>
    <row r="20" spans="2:5" x14ac:dyDescent="0.25">
      <c r="B20" s="44"/>
      <c r="C20" s="7"/>
      <c r="D20" s="5"/>
      <c r="E20" s="8" t="str">
        <f t="shared" si="0"/>
        <v/>
      </c>
    </row>
    <row r="21" spans="2:5" x14ac:dyDescent="0.25">
      <c r="B21" s="48"/>
      <c r="C21" s="15"/>
      <c r="D21" s="16"/>
      <c r="E21" s="17" t="str">
        <f t="shared" si="0"/>
        <v/>
      </c>
    </row>
    <row r="22" spans="2:5" x14ac:dyDescent="0.25">
      <c r="B22" s="44"/>
      <c r="C22" s="7"/>
      <c r="D22" s="5"/>
      <c r="E22" s="8" t="str">
        <f t="shared" si="0"/>
        <v/>
      </c>
    </row>
    <row r="23" spans="2:5" x14ac:dyDescent="0.25">
      <c r="B23" s="48"/>
      <c r="C23" s="15"/>
      <c r="D23" s="16"/>
      <c r="E23" s="17" t="str">
        <f t="shared" si="0"/>
        <v/>
      </c>
    </row>
    <row r="24" spans="2:5" x14ac:dyDescent="0.25">
      <c r="B24" s="44"/>
      <c r="C24" s="7"/>
      <c r="D24" s="5"/>
      <c r="E24" s="8" t="str">
        <f t="shared" si="0"/>
        <v/>
      </c>
    </row>
    <row r="25" spans="2:5" x14ac:dyDescent="0.25">
      <c r="B25" s="48"/>
      <c r="C25" s="15"/>
      <c r="D25" s="16"/>
      <c r="E25" s="17" t="str">
        <f t="shared" si="0"/>
        <v/>
      </c>
    </row>
    <row r="26" spans="2:5" x14ac:dyDescent="0.25">
      <c r="B26" s="44"/>
      <c r="C26" s="44"/>
      <c r="D26" s="5"/>
      <c r="E26" s="8" t="str">
        <f t="shared" si="0"/>
        <v/>
      </c>
    </row>
    <row r="27" spans="2:5" x14ac:dyDescent="0.25">
      <c r="B27" s="48"/>
      <c r="C27" s="15"/>
      <c r="D27" s="16"/>
      <c r="E27" s="17" t="str">
        <f t="shared" si="0"/>
        <v/>
      </c>
    </row>
    <row r="28" spans="2:5" x14ac:dyDescent="0.25">
      <c r="B28" s="44"/>
      <c r="C28" s="7"/>
      <c r="D28" s="5"/>
      <c r="E28" s="8" t="str">
        <f t="shared" si="0"/>
        <v/>
      </c>
    </row>
    <row r="29" spans="2:5" x14ac:dyDescent="0.25">
      <c r="B29" s="48"/>
      <c r="C29" s="15"/>
      <c r="D29" s="16"/>
      <c r="E29" s="17" t="str">
        <f t="shared" si="0"/>
        <v/>
      </c>
    </row>
    <row r="30" spans="2:5" x14ac:dyDescent="0.25">
      <c r="B30" s="44"/>
      <c r="C30" s="7"/>
      <c r="D30" s="5"/>
      <c r="E30" s="8" t="str">
        <f t="shared" si="0"/>
        <v/>
      </c>
    </row>
    <row r="31" spans="2:5" x14ac:dyDescent="0.25">
      <c r="B31" s="48"/>
      <c r="C31" s="15"/>
      <c r="D31" s="16"/>
      <c r="E31" s="17" t="str">
        <f t="shared" si="0"/>
        <v/>
      </c>
    </row>
    <row r="32" spans="2:5" x14ac:dyDescent="0.25">
      <c r="B32" s="44"/>
      <c r="C32" s="7"/>
      <c r="D32" s="5"/>
      <c r="E32" s="8" t="str">
        <f t="shared" si="0"/>
        <v/>
      </c>
    </row>
    <row r="33" spans="2:5" x14ac:dyDescent="0.25">
      <c r="B33" s="48"/>
      <c r="C33" s="15"/>
      <c r="D33" s="16"/>
      <c r="E33" s="17" t="str">
        <f t="shared" si="0"/>
        <v/>
      </c>
    </row>
    <row r="34" spans="2:5" x14ac:dyDescent="0.25">
      <c r="B34" s="44"/>
      <c r="C34" s="7"/>
      <c r="D34" s="5"/>
      <c r="E34" s="8" t="str">
        <f t="shared" si="0"/>
        <v/>
      </c>
    </row>
    <row r="35" spans="2:5" x14ac:dyDescent="0.25">
      <c r="B35" s="49"/>
      <c r="C35" s="18"/>
      <c r="D35" s="19"/>
      <c r="E35" s="20" t="str">
        <f t="shared" si="0"/>
        <v/>
      </c>
    </row>
  </sheetData>
  <mergeCells count="1">
    <mergeCell ref="G2:H2"/>
  </mergeCells>
  <pageMargins left="0.511811024" right="0.511811024" top="0.78740157499999996" bottom="0.78740157499999996" header="0.31496062000000002" footer="0.31496062000000002"/>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B56B9-F1B4-4F98-9F1B-912E31ABCBA1}">
  <dimension ref="B1:I26"/>
  <sheetViews>
    <sheetView topLeftCell="A6" workbookViewId="0">
      <selection activeCell="D23" sqref="D23"/>
    </sheetView>
  </sheetViews>
  <sheetFormatPr defaultRowHeight="15" x14ac:dyDescent="0.25"/>
  <cols>
    <col min="2" max="2" width="21.140625" bestFit="1" customWidth="1"/>
    <col min="4" max="4" width="17.7109375" customWidth="1"/>
    <col min="5" max="5" width="11" customWidth="1"/>
  </cols>
  <sheetData>
    <row r="1" spans="2:9" ht="15.75" thickBot="1" x14ac:dyDescent="0.3"/>
    <row r="2" spans="2:9" ht="15.75" thickTop="1" x14ac:dyDescent="0.25">
      <c r="B2" s="76" t="s">
        <v>15</v>
      </c>
      <c r="C2" s="78"/>
      <c r="D2" s="78"/>
      <c r="E2" s="99"/>
      <c r="F2" s="77"/>
    </row>
    <row r="3" spans="2:9" x14ac:dyDescent="0.25">
      <c r="B3" s="21" t="s">
        <v>16</v>
      </c>
      <c r="C3" s="16" t="s">
        <v>17</v>
      </c>
      <c r="D3" s="16" t="s">
        <v>18</v>
      </c>
      <c r="E3" s="17" t="s">
        <v>170</v>
      </c>
      <c r="F3" s="22" t="s">
        <v>19</v>
      </c>
    </row>
    <row r="4" spans="2:9" x14ac:dyDescent="0.25">
      <c r="B4" s="4" t="s">
        <v>14</v>
      </c>
      <c r="C4" s="5">
        <v>2</v>
      </c>
      <c r="D4" s="5">
        <v>0</v>
      </c>
      <c r="E4" s="8">
        <v>20</v>
      </c>
      <c r="F4" s="6" t="s">
        <v>20</v>
      </c>
    </row>
    <row r="5" spans="2:9" ht="15.75" thickBot="1" x14ac:dyDescent="0.3">
      <c r="B5" s="23"/>
      <c r="C5" s="25"/>
      <c r="D5" s="25"/>
      <c r="E5" s="72"/>
      <c r="F5" s="24"/>
    </row>
    <row r="6" spans="2:9" ht="16.5" thickTop="1" thickBot="1" x14ac:dyDescent="0.3"/>
    <row r="7" spans="2:9" ht="15.75" thickTop="1" x14ac:dyDescent="0.25">
      <c r="B7" s="97" t="s">
        <v>25</v>
      </c>
      <c r="C7" s="103"/>
      <c r="D7" s="103"/>
      <c r="E7" s="103"/>
      <c r="F7" s="103"/>
      <c r="G7" s="103"/>
      <c r="H7" s="98"/>
    </row>
    <row r="8" spans="2:9" x14ac:dyDescent="0.25">
      <c r="B8" s="21" t="s">
        <v>16</v>
      </c>
      <c r="C8" s="16" t="s">
        <v>23</v>
      </c>
      <c r="D8" s="16" t="s">
        <v>181</v>
      </c>
      <c r="E8" s="16" t="s">
        <v>24</v>
      </c>
      <c r="F8" s="17" t="s">
        <v>19</v>
      </c>
      <c r="G8" s="17" t="s">
        <v>138</v>
      </c>
      <c r="H8" s="22" t="s">
        <v>26</v>
      </c>
    </row>
    <row r="9" spans="2:9" x14ac:dyDescent="0.25">
      <c r="B9" s="4" t="s">
        <v>27</v>
      </c>
      <c r="C9" s="5" t="s">
        <v>112</v>
      </c>
      <c r="D9" s="5"/>
      <c r="E9" s="5"/>
      <c r="F9" s="8"/>
      <c r="G9" s="8" t="s">
        <v>180</v>
      </c>
      <c r="H9" s="6" t="s">
        <v>113</v>
      </c>
    </row>
    <row r="10" spans="2:9" x14ac:dyDescent="0.25">
      <c r="B10" s="21" t="s">
        <v>178</v>
      </c>
      <c r="C10" s="16" t="s">
        <v>179</v>
      </c>
      <c r="D10" s="16" t="s">
        <v>182</v>
      </c>
      <c r="E10" s="16"/>
      <c r="F10" s="17">
        <v>2</v>
      </c>
      <c r="G10" s="17" t="s">
        <v>180</v>
      </c>
      <c r="H10" s="22" t="s">
        <v>113</v>
      </c>
    </row>
    <row r="11" spans="2:9" x14ac:dyDescent="0.25">
      <c r="B11" s="4"/>
      <c r="C11" s="5"/>
      <c r="D11" s="5"/>
      <c r="E11" s="5"/>
      <c r="F11" s="8"/>
      <c r="G11" s="8"/>
      <c r="H11" s="6"/>
    </row>
    <row r="12" spans="2:9" x14ac:dyDescent="0.25">
      <c r="B12" s="21"/>
      <c r="C12" s="16"/>
      <c r="D12" s="16"/>
      <c r="E12" s="16"/>
      <c r="F12" s="17"/>
      <c r="G12" s="17"/>
      <c r="H12" s="22"/>
    </row>
    <row r="13" spans="2:9" ht="15.75" thickBot="1" x14ac:dyDescent="0.3">
      <c r="B13" s="12"/>
      <c r="C13" s="13"/>
      <c r="D13" s="13"/>
      <c r="E13" s="13"/>
      <c r="F13" s="70"/>
      <c r="G13" s="70"/>
      <c r="H13" s="14"/>
    </row>
    <row r="14" spans="2:9" ht="16.5" thickTop="1" thickBot="1" x14ac:dyDescent="0.3"/>
    <row r="15" spans="2:9" ht="15.75" thickTop="1" x14ac:dyDescent="0.25">
      <c r="B15" s="76" t="s">
        <v>123</v>
      </c>
      <c r="C15" s="78"/>
      <c r="D15" s="78"/>
      <c r="E15" s="78"/>
      <c r="F15" s="78"/>
      <c r="G15" s="78"/>
      <c r="H15" s="78"/>
      <c r="I15" s="77"/>
    </row>
    <row r="16" spans="2:9" x14ac:dyDescent="0.25">
      <c r="B16" s="45" t="s">
        <v>16</v>
      </c>
      <c r="C16" s="100" t="s">
        <v>17</v>
      </c>
      <c r="D16" s="100"/>
      <c r="E16" s="75" t="s">
        <v>174</v>
      </c>
      <c r="F16" s="75" t="s">
        <v>176</v>
      </c>
      <c r="G16" s="75" t="s">
        <v>19</v>
      </c>
      <c r="H16" s="75" t="s">
        <v>177</v>
      </c>
      <c r="I16" s="46" t="s">
        <v>170</v>
      </c>
    </row>
    <row r="17" spans="2:9" x14ac:dyDescent="0.25">
      <c r="B17" s="32" t="s">
        <v>168</v>
      </c>
      <c r="C17" s="101" t="s">
        <v>175</v>
      </c>
      <c r="D17" s="102"/>
      <c r="E17" s="5">
        <v>1</v>
      </c>
      <c r="F17" s="5">
        <v>4</v>
      </c>
      <c r="G17" s="5">
        <f>PRODUCT(E17:F17)</f>
        <v>4</v>
      </c>
      <c r="H17" s="5">
        <v>30</v>
      </c>
      <c r="I17" s="6">
        <f>PRODUCT(H17,E17)</f>
        <v>30</v>
      </c>
    </row>
    <row r="18" spans="2:9" x14ac:dyDescent="0.25">
      <c r="B18" s="21"/>
      <c r="C18" s="108"/>
      <c r="D18" s="108"/>
      <c r="E18" s="16"/>
      <c r="F18" s="16"/>
      <c r="G18" s="16">
        <f t="shared" ref="G18:G21" si="0">PRODUCT(E18:F18)</f>
        <v>0</v>
      </c>
      <c r="H18" s="16"/>
      <c r="I18" s="22">
        <f t="shared" ref="I18:I21" si="1">PRODUCT(H18,E18)</f>
        <v>0</v>
      </c>
    </row>
    <row r="19" spans="2:9" x14ac:dyDescent="0.25">
      <c r="B19" s="4"/>
      <c r="C19" s="102"/>
      <c r="D19" s="102"/>
      <c r="E19" s="5"/>
      <c r="F19" s="5"/>
      <c r="G19" s="5">
        <f t="shared" si="0"/>
        <v>0</v>
      </c>
      <c r="H19" s="5"/>
      <c r="I19" s="6">
        <f t="shared" si="1"/>
        <v>0</v>
      </c>
    </row>
    <row r="20" spans="2:9" x14ac:dyDescent="0.25">
      <c r="B20" s="21"/>
      <c r="C20" s="108"/>
      <c r="D20" s="108"/>
      <c r="E20" s="16"/>
      <c r="F20" s="16"/>
      <c r="G20" s="16">
        <f t="shared" si="0"/>
        <v>0</v>
      </c>
      <c r="H20" s="16"/>
      <c r="I20" s="22">
        <f t="shared" si="1"/>
        <v>0</v>
      </c>
    </row>
    <row r="21" spans="2:9" ht="15.75" thickBot="1" x14ac:dyDescent="0.3">
      <c r="B21" s="12"/>
      <c r="C21" s="109"/>
      <c r="D21" s="109"/>
      <c r="E21" s="13"/>
      <c r="F21" s="13"/>
      <c r="G21" s="13">
        <f t="shared" si="0"/>
        <v>0</v>
      </c>
      <c r="H21" s="13"/>
      <c r="I21" s="14">
        <f t="shared" si="1"/>
        <v>0</v>
      </c>
    </row>
    <row r="22" spans="2:9" ht="16.5" thickTop="1" thickBot="1" x14ac:dyDescent="0.3"/>
    <row r="23" spans="2:9" ht="15.75" thickTop="1" x14ac:dyDescent="0.25">
      <c r="B23" s="28" t="s">
        <v>171</v>
      </c>
      <c r="C23" s="74">
        <f>SUM(G17:G21,F9:F13,E4:E5)</f>
        <v>26</v>
      </c>
      <c r="D23" s="29">
        <f>Cleber!C3*3</f>
        <v>48</v>
      </c>
    </row>
    <row r="24" spans="2:9" ht="15" customHeight="1" x14ac:dyDescent="0.25">
      <c r="B24" s="73" t="s">
        <v>173</v>
      </c>
      <c r="C24" s="106">
        <f>Cleber!C3*10</f>
        <v>160</v>
      </c>
      <c r="D24" s="107"/>
    </row>
    <row r="25" spans="2:9" ht="15.75" customHeight="1" thickBot="1" x14ac:dyDescent="0.3">
      <c r="B25" s="34" t="s">
        <v>172</v>
      </c>
      <c r="C25" s="104" t="str">
        <f>IF(C23 &gt; D23, "Sobrecarga","Sem Penalidade")</f>
        <v>Sem Penalidade</v>
      </c>
      <c r="D25" s="105"/>
    </row>
    <row r="26" spans="2:9" ht="15.75" thickTop="1" x14ac:dyDescent="0.25"/>
  </sheetData>
  <mergeCells count="11">
    <mergeCell ref="B2:F2"/>
    <mergeCell ref="C16:D16"/>
    <mergeCell ref="C17:D17"/>
    <mergeCell ref="B7:H7"/>
    <mergeCell ref="C25:D25"/>
    <mergeCell ref="C24:D24"/>
    <mergeCell ref="B15:I15"/>
    <mergeCell ref="C18:D18"/>
    <mergeCell ref="C19:D19"/>
    <mergeCell ref="C20:D20"/>
    <mergeCell ref="C21:D21"/>
  </mergeCell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91FD5-C80F-4EB7-A982-BC7D3CD79ADB}">
  <dimension ref="B1:Q33"/>
  <sheetViews>
    <sheetView topLeftCell="A6" zoomScale="88" workbookViewId="0">
      <selection activeCell="K33" sqref="K33"/>
    </sheetView>
  </sheetViews>
  <sheetFormatPr defaultRowHeight="15" x14ac:dyDescent="0.25"/>
  <cols>
    <col min="2" max="2" width="22" bestFit="1" customWidth="1"/>
    <col min="3" max="3" width="9.5703125" bestFit="1" customWidth="1"/>
    <col min="4" max="4" width="10.5703125" bestFit="1" customWidth="1"/>
    <col min="5" max="5" width="13.28515625" bestFit="1" customWidth="1"/>
    <col min="6" max="6" width="11.42578125" bestFit="1" customWidth="1"/>
    <col min="7" max="7" width="11.42578125" customWidth="1"/>
    <col min="8" max="8" width="11.140625" bestFit="1" customWidth="1"/>
    <col min="9" max="9" width="21.42578125" bestFit="1" customWidth="1"/>
    <col min="10" max="10" width="10.140625" bestFit="1" customWidth="1"/>
    <col min="11" max="11" width="13.85546875" bestFit="1" customWidth="1"/>
    <col min="12" max="12" width="21.42578125" bestFit="1" customWidth="1"/>
    <col min="13" max="13" width="26.7109375" bestFit="1" customWidth="1"/>
    <col min="14" max="14" width="9.85546875" bestFit="1" customWidth="1"/>
    <col min="15" max="15" width="12.5703125" bestFit="1" customWidth="1"/>
  </cols>
  <sheetData>
    <row r="1" spans="2:16" ht="15.75" thickBot="1" x14ac:dyDescent="0.3"/>
    <row r="2" spans="2:16" ht="15" customHeight="1" thickTop="1" x14ac:dyDescent="0.25">
      <c r="B2" s="9" t="s">
        <v>28</v>
      </c>
      <c r="C2" s="10" t="s">
        <v>81</v>
      </c>
      <c r="D2" s="10" t="s">
        <v>8</v>
      </c>
      <c r="E2" s="10" t="s">
        <v>31</v>
      </c>
      <c r="F2" s="10" t="s">
        <v>82</v>
      </c>
      <c r="G2" s="10" t="s">
        <v>97</v>
      </c>
      <c r="H2" s="10" t="s">
        <v>17</v>
      </c>
      <c r="I2" s="10" t="s">
        <v>109</v>
      </c>
      <c r="J2" s="10" t="s">
        <v>30</v>
      </c>
      <c r="K2" s="11" t="s">
        <v>29</v>
      </c>
      <c r="L2" s="11" t="s">
        <v>43</v>
      </c>
      <c r="M2" s="26" t="s">
        <v>44</v>
      </c>
      <c r="O2" s="76" t="s">
        <v>83</v>
      </c>
      <c r="P2" s="77"/>
    </row>
    <row r="3" spans="2:16" x14ac:dyDescent="0.25">
      <c r="B3" s="15" t="s">
        <v>45</v>
      </c>
      <c r="C3" s="16" t="s">
        <v>46</v>
      </c>
      <c r="D3" s="16">
        <f>VLOOKUP(C3,Cleber!$B$3:$D$8,3,FALSE)</f>
        <v>2</v>
      </c>
      <c r="E3" s="16">
        <f>VLOOKUP(Cleber!$G$2,'uns dados aí'!$I$3:$J$22,2,FALSE)</f>
        <v>1</v>
      </c>
      <c r="F3" s="16" t="str">
        <f>IF(Tabela1[[#This Row],[Treinada?]]="sim",VLOOKUP(Cleber!$G$2,'uns dados aí'!$E$2:$F$4,2,TRUE),"")</f>
        <v/>
      </c>
      <c r="G3" s="16"/>
      <c r="H3" s="16"/>
      <c r="I3" s="16"/>
      <c r="J3" s="16">
        <f>SUM(Tabela1[[#This Row],[MOD]:[Bônus Habilidade]])-IF(Tabela1[[#This Row],[Penalidade de Armadura?]]="sim",Cleber!$D$16,0)</f>
        <v>3</v>
      </c>
      <c r="K3" s="16" t="s">
        <v>122</v>
      </c>
      <c r="L3" s="16" t="s">
        <v>47</v>
      </c>
      <c r="M3" s="17" t="s">
        <v>48</v>
      </c>
      <c r="O3" s="21" t="s">
        <v>33</v>
      </c>
      <c r="P3" s="22">
        <v>2</v>
      </c>
    </row>
    <row r="4" spans="2:16" x14ac:dyDescent="0.25">
      <c r="B4" s="7" t="s">
        <v>49</v>
      </c>
      <c r="C4" s="5" t="s">
        <v>50</v>
      </c>
      <c r="D4" s="5">
        <f>VLOOKUP(C4,Cleber!$B$3:$D$8,3,FALSE)</f>
        <v>1</v>
      </c>
      <c r="E4" s="5">
        <f>VLOOKUP(Cleber!$G$2,'uns dados aí'!$I$3:$J$22,2,FALSE)</f>
        <v>1</v>
      </c>
      <c r="F4" s="5" t="str">
        <f>IF(Tabela1[[#This Row],[Treinada?]]="sim",VLOOKUP(Cleber!$G$2,'uns dados aí'!$E$2:$F$4,2,TRUE),"")</f>
        <v/>
      </c>
      <c r="G4" s="5"/>
      <c r="H4" s="5"/>
      <c r="I4" s="5"/>
      <c r="J4" s="5">
        <f>SUM(Tabela1[[#This Row],[MOD]:[Bônus Habilidade]])-IF(Tabela1[[#This Row],[Penalidade de Armadura?]]="sim",Cleber!$D$16,0)</f>
        <v>2</v>
      </c>
      <c r="K4" s="5" t="s">
        <v>122</v>
      </c>
      <c r="L4" s="5" t="s">
        <v>48</v>
      </c>
      <c r="M4" s="8" t="s">
        <v>47</v>
      </c>
      <c r="O4" s="4" t="s">
        <v>39</v>
      </c>
      <c r="P4" s="6">
        <v>4</v>
      </c>
    </row>
    <row r="5" spans="2:16" ht="15.75" thickBot="1" x14ac:dyDescent="0.3">
      <c r="B5" s="15" t="s">
        <v>51</v>
      </c>
      <c r="C5" s="16" t="s">
        <v>52</v>
      </c>
      <c r="D5" s="16">
        <f>VLOOKUP(C5,Cleber!$B$3:$D$8,3,FALSE)</f>
        <v>3</v>
      </c>
      <c r="E5" s="16">
        <f>VLOOKUP(Cleber!$G$2,'uns dados aí'!$I$3:$J$22,2,FALSE)</f>
        <v>1</v>
      </c>
      <c r="F5" s="16" t="str">
        <f>IF(Tabela1[[#This Row],[Treinada?]]="sim",VLOOKUP(Cleber!$G$2,'uns dados aí'!$E$2:$F$4,2,TRUE),"")</f>
        <v/>
      </c>
      <c r="G5" s="16"/>
      <c r="H5" s="16"/>
      <c r="I5" s="16"/>
      <c r="J5" s="16">
        <f>SUM(Tabela1[[#This Row],[MOD]:[Bônus Habilidade]])-IF(Tabela1[[#This Row],[Penalidade de Armadura?]]="sim",Cleber!$D$16,0)</f>
        <v>4</v>
      </c>
      <c r="K5" s="16" t="s">
        <v>122</v>
      </c>
      <c r="L5" s="16" t="s">
        <v>47</v>
      </c>
      <c r="M5" s="17" t="s">
        <v>47</v>
      </c>
      <c r="O5" s="23" t="s">
        <v>84</v>
      </c>
      <c r="P5" s="24">
        <v>6</v>
      </c>
    </row>
    <row r="6" spans="2:16" ht="16.5" thickTop="1" thickBot="1" x14ac:dyDescent="0.3">
      <c r="B6" s="7" t="s">
        <v>53</v>
      </c>
      <c r="C6" s="5" t="s">
        <v>50</v>
      </c>
      <c r="D6" s="5">
        <f>VLOOKUP(C6,Cleber!$B$3:$D$8,3,FALSE)</f>
        <v>1</v>
      </c>
      <c r="E6" s="5">
        <f>VLOOKUP(Cleber!$G$2,'uns dados aí'!$I$3:$J$22,2,FALSE)</f>
        <v>1</v>
      </c>
      <c r="F6" s="5" t="str">
        <f>IF(Tabela1[[#This Row],[Treinada?]]="sim",VLOOKUP(Cleber!$G$2,'uns dados aí'!$E$2:$F$4,2,TRUE),"")</f>
        <v/>
      </c>
      <c r="G6" s="5"/>
      <c r="H6" s="5"/>
      <c r="I6" s="5"/>
      <c r="J6" s="5">
        <f>SUM(Tabela1[[#This Row],[MOD]:[Bônus Habilidade]])-IF(Tabela1[[#This Row],[Penalidade de Armadura?]]="sim",Cleber!$D$16,0)</f>
        <v>2</v>
      </c>
      <c r="K6" s="5" t="s">
        <v>122</v>
      </c>
      <c r="L6" s="5" t="s">
        <v>47</v>
      </c>
      <c r="M6" s="8" t="s">
        <v>47</v>
      </c>
    </row>
    <row r="7" spans="2:16" ht="15.75" customHeight="1" thickTop="1" x14ac:dyDescent="0.25">
      <c r="B7" s="15" t="s">
        <v>54</v>
      </c>
      <c r="C7" s="16" t="s">
        <v>46</v>
      </c>
      <c r="D7" s="16">
        <f>VLOOKUP(C7,Cleber!$B$3:$D$8,3,FALSE)</f>
        <v>2</v>
      </c>
      <c r="E7" s="16">
        <f>VLOOKUP(Cleber!$G$2,'uns dados aí'!$I$3:$J$22,2,FALSE)</f>
        <v>1</v>
      </c>
      <c r="F7" s="16" t="str">
        <f>IF(Tabela1[[#This Row],[Treinada?]]="sim",VLOOKUP(Cleber!$G$2,'uns dados aí'!$E$2:$F$4,2,TRUE),"")</f>
        <v/>
      </c>
      <c r="G7" s="16"/>
      <c r="H7" s="16"/>
      <c r="I7" s="16"/>
      <c r="J7" s="16">
        <f>SUM(Tabela1[[#This Row],[MOD]:[Bônus Habilidade]])-IF(Tabela1[[#This Row],[Penalidade de Armadura?]]="sim",Cleber!$D$16,0)</f>
        <v>3</v>
      </c>
      <c r="K7" s="16" t="s">
        <v>122</v>
      </c>
      <c r="L7" s="16" t="s">
        <v>47</v>
      </c>
      <c r="M7" s="17" t="s">
        <v>47</v>
      </c>
      <c r="O7" s="76" t="s">
        <v>111</v>
      </c>
      <c r="P7" s="77"/>
    </row>
    <row r="8" spans="2:16" ht="15" customHeight="1" x14ac:dyDescent="0.25">
      <c r="B8" s="7" t="s">
        <v>55</v>
      </c>
      <c r="C8" s="5" t="s">
        <v>56</v>
      </c>
      <c r="D8" s="5">
        <f>VLOOKUP(C8,Cleber!$B$3:$D$8,3,FALSE)</f>
        <v>6</v>
      </c>
      <c r="E8" s="5">
        <f>VLOOKUP(Cleber!$G$2,'uns dados aí'!$I$3:$J$22,2,FALSE)</f>
        <v>1</v>
      </c>
      <c r="F8" s="5">
        <f>IF(Tabela1[[#This Row],[Treinada?]]="sim",VLOOKUP(Cleber!$G$2,'uns dados aí'!$E$2:$F$4,2,TRUE),"")</f>
        <v>2</v>
      </c>
      <c r="G8" s="5"/>
      <c r="H8" s="5"/>
      <c r="I8" s="5"/>
      <c r="J8" s="5">
        <f>SUM(Tabela1[[#This Row],[MOD]:[Bônus Habilidade]])-IF(Tabela1[[#This Row],[Penalidade de Armadura?]]="sim",Cleber!$D$16,0)</f>
        <v>9</v>
      </c>
      <c r="K8" s="5" t="s">
        <v>48</v>
      </c>
      <c r="L8" s="5" t="s">
        <v>48</v>
      </c>
      <c r="M8" s="8" t="s">
        <v>47</v>
      </c>
      <c r="O8" s="21" t="s">
        <v>3</v>
      </c>
      <c r="P8" s="22">
        <f>VLOOKUP(O8,'uns dados aí'!$B$16:$E$22,4,FALSE)</f>
        <v>0</v>
      </c>
    </row>
    <row r="9" spans="2:16" x14ac:dyDescent="0.25">
      <c r="B9" s="15" t="s">
        <v>57</v>
      </c>
      <c r="C9" s="16" t="s">
        <v>58</v>
      </c>
      <c r="D9" s="16">
        <f>VLOOKUP(C9,Cleber!$B$3:$D$8,3,FALSE)</f>
        <v>4</v>
      </c>
      <c r="E9" s="16">
        <f>VLOOKUP(Cleber!$G$2,'uns dados aí'!$I$3:$J$22,2,FALSE)</f>
        <v>1</v>
      </c>
      <c r="F9" s="16">
        <f>IF(Tabela1[[#This Row],[Treinada?]]="sim",VLOOKUP(Cleber!$G$2,'uns dados aí'!$E$2:$F$4,2,TRUE),"")</f>
        <v>2</v>
      </c>
      <c r="G9" s="16"/>
      <c r="H9" s="16"/>
      <c r="I9" s="16"/>
      <c r="J9" s="16">
        <f>SUM(Tabela1[[#This Row],[MOD]:[Bônus Habilidade]])-IF(Tabela1[[#This Row],[Penalidade de Armadura?]]="sim",Cleber!$D$16,0)</f>
        <v>7</v>
      </c>
      <c r="K9" s="16" t="s">
        <v>48</v>
      </c>
      <c r="L9" s="16" t="s">
        <v>47</v>
      </c>
      <c r="M9" s="17" t="s">
        <v>47</v>
      </c>
      <c r="O9" s="4" t="s">
        <v>4</v>
      </c>
      <c r="P9" s="6">
        <f>VLOOKUP(O9,'uns dados aí'!$B$16:$E$22,4,FALSE)</f>
        <v>2</v>
      </c>
    </row>
    <row r="10" spans="2:16" x14ac:dyDescent="0.25">
      <c r="B10" s="7" t="s">
        <v>59</v>
      </c>
      <c r="C10" s="5" t="s">
        <v>50</v>
      </c>
      <c r="D10" s="5">
        <f>VLOOKUP(C10,Cleber!$B$3:$D$8,3,FALSE)</f>
        <v>1</v>
      </c>
      <c r="E10" s="5">
        <f>VLOOKUP(Cleber!$G$2,'uns dados aí'!$I$3:$J$22,2,FALSE)</f>
        <v>1</v>
      </c>
      <c r="F10" s="5" t="str">
        <f>IF(Tabela1[[#This Row],[Treinada?]]="sim",VLOOKUP(Cleber!$G$2,'uns dados aí'!$E$2:$F$4,2,TRUE),"")</f>
        <v/>
      </c>
      <c r="G10" s="5"/>
      <c r="H10" s="5"/>
      <c r="I10" s="5"/>
      <c r="J10" s="5">
        <f>SUM(Tabela1[[#This Row],[MOD]:[Bônus Habilidade]])-IF(Tabela1[[#This Row],[Penalidade de Armadura?]]="sim",Cleber!$D$16,0)</f>
        <v>2</v>
      </c>
      <c r="K10" s="5" t="s">
        <v>122</v>
      </c>
      <c r="L10" s="5" t="s">
        <v>47</v>
      </c>
      <c r="M10" s="8" t="s">
        <v>47</v>
      </c>
      <c r="O10" s="21" t="s">
        <v>12</v>
      </c>
      <c r="P10" s="22">
        <f>VLOOKUP(O10,'uns dados aí'!$B$16:$E$22,4,FALSE)</f>
        <v>-2</v>
      </c>
    </row>
    <row r="11" spans="2:16" x14ac:dyDescent="0.25">
      <c r="B11" s="15" t="s">
        <v>60</v>
      </c>
      <c r="C11" s="16" t="s">
        <v>50</v>
      </c>
      <c r="D11" s="16">
        <f>VLOOKUP(C11,Cleber!$B$3:$D$8,3,FALSE)</f>
        <v>1</v>
      </c>
      <c r="E11" s="16">
        <f>VLOOKUP(Cleber!$G$2,'uns dados aí'!$I$3:$J$22,2,FALSE)</f>
        <v>1</v>
      </c>
      <c r="F11" s="16" t="str">
        <f>IF(Tabela1[[#This Row],[Treinada?]]="sim",VLOOKUP(Cleber!$G$2,'uns dados aí'!$E$2:$F$4,2,TRUE),"")</f>
        <v/>
      </c>
      <c r="G11" s="16"/>
      <c r="H11" s="16"/>
      <c r="I11" s="16"/>
      <c r="J11" s="16">
        <f>SUM(Tabela1[[#This Row],[MOD]:[Bônus Habilidade]])-IF(Tabela1[[#This Row],[Penalidade de Armadura?]]="sim",Cleber!$D$16,0)</f>
        <v>2</v>
      </c>
      <c r="K11" s="16" t="s">
        <v>122</v>
      </c>
      <c r="L11" s="16" t="s">
        <v>47</v>
      </c>
      <c r="M11" s="17" t="s">
        <v>47</v>
      </c>
      <c r="O11" s="4" t="s">
        <v>5</v>
      </c>
      <c r="P11" s="6">
        <f>VLOOKUP(O11,'uns dados aí'!$B$16:$E$22,4,FALSE)</f>
        <v>4</v>
      </c>
    </row>
    <row r="12" spans="2:16" x14ac:dyDescent="0.25">
      <c r="B12" s="7" t="s">
        <v>61</v>
      </c>
      <c r="C12" s="5" t="s">
        <v>62</v>
      </c>
      <c r="D12" s="5">
        <f>VLOOKUP(C12,Cleber!$B$3:$D$8,3,FALSE)</f>
        <v>1</v>
      </c>
      <c r="E12" s="5">
        <f>VLOOKUP(Cleber!$G$2,'uns dados aí'!$I$3:$J$22,2,FALSE)</f>
        <v>1</v>
      </c>
      <c r="F12" s="5">
        <f>IF(Tabela1[[#This Row],[Treinada?]]="sim",VLOOKUP(Cleber!$G$2,'uns dados aí'!$E$2:$F$4,2,TRUE),"")</f>
        <v>2</v>
      </c>
      <c r="G12" s="5"/>
      <c r="H12" s="5"/>
      <c r="I12" s="5"/>
      <c r="J12" s="5">
        <f>SUM(Tabela1[[#This Row],[MOD]:[Bônus Habilidade]])-IF(Tabela1[[#This Row],[Penalidade de Armadura?]]="sim",Cleber!$D$16,0)</f>
        <v>4</v>
      </c>
      <c r="K12" s="5" t="s">
        <v>48</v>
      </c>
      <c r="L12" s="5" t="s">
        <v>47</v>
      </c>
      <c r="M12" s="8" t="s">
        <v>47</v>
      </c>
      <c r="O12" s="21" t="s">
        <v>6</v>
      </c>
      <c r="P12" s="22">
        <f>VLOOKUP(O12,'uns dados aí'!$B$16:$E$22,4,FALSE)</f>
        <v>2</v>
      </c>
    </row>
    <row r="13" spans="2:16" ht="15.75" thickBot="1" x14ac:dyDescent="0.3">
      <c r="B13" s="15" t="s">
        <v>63</v>
      </c>
      <c r="C13" s="16" t="s">
        <v>46</v>
      </c>
      <c r="D13" s="16">
        <f>VLOOKUP(C13,Cleber!$B$3:$D$8,3,FALSE)</f>
        <v>2</v>
      </c>
      <c r="E13" s="16">
        <f>VLOOKUP(Cleber!$G$2,'uns dados aí'!$I$3:$J$22,2,FALSE)</f>
        <v>1</v>
      </c>
      <c r="F13" s="16" t="str">
        <f>IF(Tabela1[[#This Row],[Treinada?]]="sim",VLOOKUP(Cleber!$G$2,'uns dados aí'!$E$2:$F$4,2,TRUE),"")</f>
        <v/>
      </c>
      <c r="G13" s="16"/>
      <c r="H13" s="16"/>
      <c r="I13" s="16"/>
      <c r="J13" s="16">
        <f>SUM(Tabela1[[#This Row],[MOD]:[Bônus Habilidade]])-IF(Tabela1[[#This Row],[Penalidade de Armadura?]]="sim",Cleber!$D$16,0)</f>
        <v>3</v>
      </c>
      <c r="K13" s="16" t="s">
        <v>122</v>
      </c>
      <c r="L13" s="16" t="s">
        <v>47</v>
      </c>
      <c r="M13" s="17" t="s">
        <v>48</v>
      </c>
      <c r="O13" s="12" t="s">
        <v>7</v>
      </c>
      <c r="P13" s="14">
        <f>VLOOKUP(O13,'uns dados aí'!$B$16:$E$22,4,FALSE)</f>
        <v>0</v>
      </c>
    </row>
    <row r="14" spans="2:16" ht="15.75" thickTop="1" x14ac:dyDescent="0.25">
      <c r="B14" s="7" t="s">
        <v>64</v>
      </c>
      <c r="C14" s="5" t="s">
        <v>56</v>
      </c>
      <c r="D14" s="5">
        <f>VLOOKUP(C14,Cleber!$B$3:$D$8,3,FALSE)</f>
        <v>6</v>
      </c>
      <c r="E14" s="5">
        <f>VLOOKUP(Cleber!$G$2,'uns dados aí'!$I$3:$J$22,2,FALSE)</f>
        <v>1</v>
      </c>
      <c r="F14" s="5">
        <f>IF(Tabela1[[#This Row],[Treinada?]]="sim",VLOOKUP(Cleber!$G$2,'uns dados aí'!$E$2:$F$4,2,TRUE),"")</f>
        <v>2</v>
      </c>
      <c r="G14" s="5"/>
      <c r="H14" s="5"/>
      <c r="I14" s="5"/>
      <c r="J14" s="5">
        <f>SUM(Tabela1[[#This Row],[MOD]:[Bônus Habilidade]])-IF(Tabela1[[#This Row],[Penalidade de Armadura?]]="sim",Cleber!$D$16,0)</f>
        <v>9</v>
      </c>
      <c r="K14" s="5" t="s">
        <v>48</v>
      </c>
      <c r="L14" s="5" t="s">
        <v>48</v>
      </c>
      <c r="M14" s="8" t="s">
        <v>47</v>
      </c>
    </row>
    <row r="15" spans="2:16" x14ac:dyDescent="0.25">
      <c r="B15" s="15" t="s">
        <v>65</v>
      </c>
      <c r="C15" s="16" t="s">
        <v>46</v>
      </c>
      <c r="D15" s="16">
        <f>VLOOKUP(C15,Cleber!$B$3:$D$8,3,FALSE)</f>
        <v>2</v>
      </c>
      <c r="E15" s="16">
        <f>VLOOKUP(Cleber!$G$2,'uns dados aí'!$I$3:$J$22,2,FALSE)</f>
        <v>1</v>
      </c>
      <c r="F15" s="16" t="str">
        <f>IF(Tabela1[[#This Row],[Treinada?]]="sim",VLOOKUP(Cleber!$G$2,'uns dados aí'!$E$2:$F$4,2,TRUE),"")</f>
        <v/>
      </c>
      <c r="G15" s="16"/>
      <c r="H15" s="16"/>
      <c r="I15" s="16"/>
      <c r="J15" s="16">
        <f>SUM(Tabela1[[#This Row],[MOD]:[Bônus Habilidade]])-IF(Tabela1[[#This Row],[Penalidade de Armadura?]]="sim",Cleber!$D$16,0)</f>
        <v>3</v>
      </c>
      <c r="K15" s="16" t="s">
        <v>122</v>
      </c>
      <c r="L15" s="16" t="s">
        <v>47</v>
      </c>
      <c r="M15" s="17" t="s">
        <v>47</v>
      </c>
    </row>
    <row r="16" spans="2:16" x14ac:dyDescent="0.25">
      <c r="B16" s="7" t="s">
        <v>66</v>
      </c>
      <c r="C16" s="5" t="s">
        <v>50</v>
      </c>
      <c r="D16" s="5">
        <f>VLOOKUP(C16,Cleber!$B$3:$D$8,3,FALSE)</f>
        <v>1</v>
      </c>
      <c r="E16" s="5">
        <f>VLOOKUP(Cleber!$G$2,'uns dados aí'!$I$3:$J$22,2,FALSE)</f>
        <v>1</v>
      </c>
      <c r="F16" s="5" t="str">
        <f>IF(Tabela1[[#This Row],[Treinada?]]="sim",VLOOKUP(Cleber!$G$2,'uns dados aí'!$E$2:$F$4,2,TRUE),"")</f>
        <v/>
      </c>
      <c r="G16" s="5"/>
      <c r="H16" s="5"/>
      <c r="I16" s="5"/>
      <c r="J16" s="5">
        <f>SUM(Tabela1[[#This Row],[MOD]:[Bônus Habilidade]])-IF(Tabela1[[#This Row],[Penalidade de Armadura?]]="sim",Cleber!$D$16,0)</f>
        <v>2</v>
      </c>
      <c r="K16" s="5" t="s">
        <v>122</v>
      </c>
      <c r="L16" s="5" t="s">
        <v>47</v>
      </c>
      <c r="M16" s="8" t="s">
        <v>47</v>
      </c>
    </row>
    <row r="17" spans="2:17" x14ac:dyDescent="0.25">
      <c r="B17" s="15" t="s">
        <v>67</v>
      </c>
      <c r="C17" s="16" t="s">
        <v>58</v>
      </c>
      <c r="D17" s="16">
        <f>VLOOKUP(C17,Cleber!$B$3:$D$8,3,FALSE)</f>
        <v>4</v>
      </c>
      <c r="E17" s="16">
        <f>VLOOKUP(Cleber!$G$2,'uns dados aí'!$I$3:$J$22,2,FALSE)</f>
        <v>1</v>
      </c>
      <c r="F17" s="16" t="str">
        <f>IF(Tabela1[[#This Row],[Treinada?]]="sim",VLOOKUP(Cleber!$G$2,'uns dados aí'!$E$2:$F$4,2,TRUE),"")</f>
        <v/>
      </c>
      <c r="G17" s="16"/>
      <c r="H17" s="16"/>
      <c r="I17" s="16"/>
      <c r="J17" s="16">
        <f>SUM(Tabela1[[#This Row],[MOD]:[Bônus Habilidade]])-IF(Tabela1[[#This Row],[Penalidade de Armadura?]]="sim",Cleber!$D$16,0)</f>
        <v>5</v>
      </c>
      <c r="K17" s="16" t="s">
        <v>122</v>
      </c>
      <c r="L17" s="16" t="s">
        <v>47</v>
      </c>
      <c r="M17" s="17" t="s">
        <v>47</v>
      </c>
      <c r="Q17" t="str">
        <f>IF(P17&gt;P18,"passou demais","")</f>
        <v/>
      </c>
    </row>
    <row r="18" spans="2:17" x14ac:dyDescent="0.25">
      <c r="B18" s="7" t="s">
        <v>68</v>
      </c>
      <c r="C18" s="5" t="s">
        <v>56</v>
      </c>
      <c r="D18" s="5">
        <f>VLOOKUP(C18,Cleber!$B$3:$D$8,3,FALSE)</f>
        <v>6</v>
      </c>
      <c r="E18" s="5">
        <f>VLOOKUP(Cleber!$G$2,'uns dados aí'!$I$3:$J$22,2,FALSE)</f>
        <v>1</v>
      </c>
      <c r="F18" s="5">
        <f>IF(Tabela1[[#This Row],[Treinada?]]="sim",VLOOKUP(Cleber!$G$2,'uns dados aí'!$E$2:$F$4,2,TRUE),"")</f>
        <v>2</v>
      </c>
      <c r="G18" s="5"/>
      <c r="H18" s="5"/>
      <c r="I18" s="5"/>
      <c r="J18" s="5">
        <f>SUM(Tabela1[[#This Row],[MOD]:[Bônus Habilidade]])-IF(Tabela1[[#This Row],[Penalidade de Armadura?]]="sim",Cleber!$D$16,0)</f>
        <v>9</v>
      </c>
      <c r="K18" s="5" t="s">
        <v>48</v>
      </c>
      <c r="L18" s="5" t="s">
        <v>47</v>
      </c>
      <c r="M18" s="8" t="s">
        <v>47</v>
      </c>
    </row>
    <row r="19" spans="2:17" x14ac:dyDescent="0.25">
      <c r="B19" s="15" t="s">
        <v>69</v>
      </c>
      <c r="C19" s="16" t="s">
        <v>50</v>
      </c>
      <c r="D19" s="16">
        <f>VLOOKUP(C19,Cleber!$B$3:$D$8,3,FALSE)</f>
        <v>1</v>
      </c>
      <c r="E19" s="16">
        <f>VLOOKUP(Cleber!$G$2,'uns dados aí'!$I$3:$J$22,2,FALSE)</f>
        <v>1</v>
      </c>
      <c r="F19" s="16" t="str">
        <f>IF(Tabela1[[#This Row],[Treinada?]]="sim",VLOOKUP(Cleber!$G$2,'uns dados aí'!$E$2:$F$4,2,TRUE),"")</f>
        <v/>
      </c>
      <c r="G19" s="16"/>
      <c r="H19" s="16"/>
      <c r="I19" s="16"/>
      <c r="J19" s="16">
        <f>SUM(Tabela1[[#This Row],[MOD]:[Bônus Habilidade]])-IF(Tabela1[[#This Row],[Penalidade de Armadura?]]="sim",Cleber!$D$16,0)</f>
        <v>2</v>
      </c>
      <c r="K19" s="16" t="s">
        <v>122</v>
      </c>
      <c r="L19" s="16" t="s">
        <v>48</v>
      </c>
      <c r="M19" s="17" t="s">
        <v>47</v>
      </c>
    </row>
    <row r="20" spans="2:17" x14ac:dyDescent="0.25">
      <c r="B20" s="7" t="s">
        <v>70</v>
      </c>
      <c r="C20" s="5" t="s">
        <v>46</v>
      </c>
      <c r="D20" s="5">
        <f>VLOOKUP(C20,Cleber!$B$3:$D$8,3,FALSE)</f>
        <v>2</v>
      </c>
      <c r="E20" s="5">
        <f>VLOOKUP(Cleber!$G$2,'uns dados aí'!$I$3:$J$22,2,FALSE)</f>
        <v>1</v>
      </c>
      <c r="F20" s="5" t="str">
        <f>IF(Tabela1[[#This Row],[Treinada?]]="sim",VLOOKUP(Cleber!$G$2,'uns dados aí'!$E$2:$F$4,2,TRUE),"")</f>
        <v/>
      </c>
      <c r="G20" s="5"/>
      <c r="H20" s="5"/>
      <c r="I20" s="5"/>
      <c r="J20" s="5">
        <f>SUM(Tabela1[[#This Row],[MOD]:[Bônus Habilidade]])-IF(Tabela1[[#This Row],[Penalidade de Armadura?]]="sim",Cleber!$D$16,0)</f>
        <v>3</v>
      </c>
      <c r="K20" s="5" t="s">
        <v>122</v>
      </c>
      <c r="L20" s="5" t="s">
        <v>48</v>
      </c>
      <c r="M20" s="8" t="s">
        <v>48</v>
      </c>
    </row>
    <row r="21" spans="2:17" x14ac:dyDescent="0.25">
      <c r="B21" s="15" t="s">
        <v>71</v>
      </c>
      <c r="C21" s="16" t="s">
        <v>52</v>
      </c>
      <c r="D21" s="16">
        <f>VLOOKUP(C21,Cleber!$B$3:$D$8,3,FALSE)</f>
        <v>3</v>
      </c>
      <c r="E21" s="16">
        <f>VLOOKUP(Cleber!$G$2,'uns dados aí'!$I$3:$J$22,2,FALSE)</f>
        <v>1</v>
      </c>
      <c r="F21" s="16">
        <f>IF(Tabela1[[#This Row],[Treinada?]]="sim",VLOOKUP(Cleber!$G$2,'uns dados aí'!$E$2:$F$4,2,TRUE),"")</f>
        <v>2</v>
      </c>
      <c r="G21" s="16"/>
      <c r="H21" s="16"/>
      <c r="I21" s="16"/>
      <c r="J21" s="16">
        <f>SUM(Tabela1[[#This Row],[MOD]:[Bônus Habilidade]])-IF(Tabela1[[#This Row],[Penalidade de Armadura?]]="sim",Cleber!$D$16,0)</f>
        <v>6</v>
      </c>
      <c r="K21" s="16" t="s">
        <v>48</v>
      </c>
      <c r="L21" s="16" t="s">
        <v>47</v>
      </c>
      <c r="M21" s="17" t="s">
        <v>47</v>
      </c>
    </row>
    <row r="22" spans="2:17" x14ac:dyDescent="0.25">
      <c r="B22" s="7" t="s">
        <v>72</v>
      </c>
      <c r="C22" s="5" t="s">
        <v>56</v>
      </c>
      <c r="D22" s="5">
        <f>VLOOKUP(C22,Cleber!$B$3:$D$8,3,FALSE)</f>
        <v>6</v>
      </c>
      <c r="E22" s="5">
        <f>VLOOKUP(Cleber!$G$2,'uns dados aí'!$I$3:$J$22,2,FALSE)</f>
        <v>1</v>
      </c>
      <c r="F22" s="5">
        <f>IF(Tabela1[[#This Row],[Treinada?]]="sim",VLOOKUP(Cleber!$G$2,'uns dados aí'!$E$2:$F$4,2,TRUE),"")</f>
        <v>2</v>
      </c>
      <c r="G22" s="5">
        <v>2</v>
      </c>
      <c r="H22" s="5"/>
      <c r="I22" s="5"/>
      <c r="J22" s="5">
        <f>SUM(Tabela1[[#This Row],[MOD]:[Bônus Habilidade]])-IF(Tabela1[[#This Row],[Penalidade de Armadura?]]="sim",Cleber!$D$16,0)</f>
        <v>11</v>
      </c>
      <c r="K22" s="5" t="s">
        <v>48</v>
      </c>
      <c r="L22" s="5" t="s">
        <v>48</v>
      </c>
      <c r="M22" s="8" t="s">
        <v>47</v>
      </c>
    </row>
    <row r="23" spans="2:17" x14ac:dyDescent="0.25">
      <c r="B23" s="15" t="s">
        <v>73</v>
      </c>
      <c r="C23" s="16" t="s">
        <v>56</v>
      </c>
      <c r="D23" s="16">
        <f>VLOOKUP(C23,Cleber!$B$3:$D$8,3,FALSE)</f>
        <v>6</v>
      </c>
      <c r="E23" s="16">
        <f>VLOOKUP(Cleber!$G$2,'uns dados aí'!$I$3:$J$22,2,FALSE)</f>
        <v>1</v>
      </c>
      <c r="F23" s="16" t="str">
        <f>IF(Tabela1[[#This Row],[Treinada?]]="sim",VLOOKUP(Cleber!$G$2,'uns dados aí'!$E$2:$F$4,2,TRUE),"")</f>
        <v/>
      </c>
      <c r="G23" s="16"/>
      <c r="H23" s="16"/>
      <c r="I23" s="16"/>
      <c r="J23" s="16">
        <f>SUM(Tabela1[[#This Row],[MOD]:[Bônus Habilidade]])-IF(Tabela1[[#This Row],[Penalidade de Armadura?]]="sim",Cleber!$D$16,0)</f>
        <v>7</v>
      </c>
      <c r="K23" s="16" t="s">
        <v>122</v>
      </c>
      <c r="L23" s="16" t="s">
        <v>48</v>
      </c>
      <c r="M23" s="17" t="s">
        <v>47</v>
      </c>
    </row>
    <row r="24" spans="2:17" x14ac:dyDescent="0.25">
      <c r="B24" s="7" t="s">
        <v>115</v>
      </c>
      <c r="C24" s="5" t="s">
        <v>56</v>
      </c>
      <c r="D24" s="5">
        <f>VLOOKUP(C24,Cleber!$B$3:$D$8,3,FALSE)</f>
        <v>6</v>
      </c>
      <c r="E24" s="5">
        <f>VLOOKUP(Cleber!$G$2,'uns dados aí'!$I$3:$J$22,2,FALSE)</f>
        <v>1</v>
      </c>
      <c r="F24" s="5">
        <f>IF(Tabela1[[#This Row],[Treinada?]]="sim",VLOOKUP(Cleber!$G$2,'uns dados aí'!$E$2:$F$4,2,TRUE),"")</f>
        <v>2</v>
      </c>
      <c r="G24" s="5"/>
      <c r="H24" s="5"/>
      <c r="I24" s="5"/>
      <c r="J24" s="5">
        <f>SUM(Tabela1[[#This Row],[MOD]:[Bônus Habilidade]])-IF(Tabela1[[#This Row],[Penalidade de Armadura?]]="sim",Cleber!$D$16,0)</f>
        <v>9</v>
      </c>
      <c r="K24" s="5" t="s">
        <v>48</v>
      </c>
      <c r="L24" s="5" t="s">
        <v>48</v>
      </c>
      <c r="M24" s="8" t="s">
        <v>47</v>
      </c>
    </row>
    <row r="25" spans="2:17" x14ac:dyDescent="0.25">
      <c r="B25" s="15" t="s">
        <v>116</v>
      </c>
      <c r="C25" s="16" t="s">
        <v>56</v>
      </c>
      <c r="D25" s="16">
        <f>VLOOKUP(C25,Cleber!$B$3:$D$8,3,FALSE)</f>
        <v>6</v>
      </c>
      <c r="E25" s="16">
        <f>VLOOKUP(Cleber!$G$2,'uns dados aí'!$I$3:$J$22,2,FALSE)</f>
        <v>1</v>
      </c>
      <c r="F25" s="16">
        <f>IF(Tabela1[[#This Row],[Treinada?]]="sim",VLOOKUP(Cleber!$G$2,'uns dados aí'!$E$2:$F$4,2,TRUE),"")</f>
        <v>2</v>
      </c>
      <c r="G25" s="16"/>
      <c r="H25" s="16"/>
      <c r="I25" s="16"/>
      <c r="J25" s="16">
        <f>SUM(Tabela1[[#This Row],[MOD]:[Bônus Habilidade]])-IF(Tabela1[[#This Row],[Penalidade de Armadura?]]="sim",Cleber!$D$16,0)</f>
        <v>9</v>
      </c>
      <c r="K25" s="16" t="s">
        <v>48</v>
      </c>
      <c r="L25" s="16" t="s">
        <v>48</v>
      </c>
      <c r="M25" s="17" t="s">
        <v>47</v>
      </c>
    </row>
    <row r="26" spans="2:17" x14ac:dyDescent="0.25">
      <c r="B26" s="44" t="s">
        <v>114</v>
      </c>
      <c r="C26" s="5" t="s">
        <v>56</v>
      </c>
      <c r="D26" s="5">
        <f>VLOOKUP(C26,Cleber!$B$3:$D$8,3,FALSE)</f>
        <v>6</v>
      </c>
      <c r="E26" s="5">
        <f>VLOOKUP(Cleber!$G$2,'uns dados aí'!$I$3:$J$22,2,FALSE)</f>
        <v>1</v>
      </c>
      <c r="F26" s="5">
        <f>IF(Tabela1[[#This Row],[Treinada?]]="sim",VLOOKUP(Cleber!$G$2,'uns dados aí'!$E$2:$F$4,2,TRUE),"")</f>
        <v>2</v>
      </c>
      <c r="G26" s="5"/>
      <c r="H26" s="5"/>
      <c r="I26" s="5"/>
      <c r="J26" s="5">
        <f>SUM(Tabela1[[#This Row],[MOD]:[Bônus Habilidade]])-IF(Tabela1[[#This Row],[Penalidade de Armadura?]]="sim",Cleber!$D$16,0)</f>
        <v>9</v>
      </c>
      <c r="K26" s="5" t="s">
        <v>48</v>
      </c>
      <c r="L26" s="5" t="s">
        <v>48</v>
      </c>
      <c r="M26" s="8" t="s">
        <v>47</v>
      </c>
    </row>
    <row r="27" spans="2:17" x14ac:dyDescent="0.25">
      <c r="B27" s="15" t="s">
        <v>74</v>
      </c>
      <c r="C27" s="16" t="s">
        <v>58</v>
      </c>
      <c r="D27" s="16">
        <f>VLOOKUP(C27,Cleber!$B$3:$D$8,3,FALSE)</f>
        <v>4</v>
      </c>
      <c r="E27" s="16">
        <f>VLOOKUP(Cleber!$G$2,'uns dados aí'!$I$3:$J$22,2,FALSE)</f>
        <v>1</v>
      </c>
      <c r="F27" s="16">
        <f>IF(Tabela1[[#This Row],[Treinada?]]="sim",VLOOKUP(Cleber!$G$2,'uns dados aí'!$E$2:$F$4,2,TRUE),"")</f>
        <v>2</v>
      </c>
      <c r="G27" s="16">
        <v>2</v>
      </c>
      <c r="H27" s="16"/>
      <c r="I27" s="16"/>
      <c r="J27" s="16">
        <f>SUM(Tabela1[[#This Row],[MOD]:[Bônus Habilidade]])-IF(Tabela1[[#This Row],[Penalidade de Armadura?]]="sim",Cleber!$D$16,0)</f>
        <v>9</v>
      </c>
      <c r="K27" s="16" t="s">
        <v>48</v>
      </c>
      <c r="L27" s="16" t="s">
        <v>47</v>
      </c>
      <c r="M27" s="17" t="s">
        <v>47</v>
      </c>
    </row>
    <row r="28" spans="2:17" x14ac:dyDescent="0.25">
      <c r="B28" s="7" t="s">
        <v>75</v>
      </c>
      <c r="C28" s="5" t="s">
        <v>46</v>
      </c>
      <c r="D28" s="5">
        <f>VLOOKUP(C28,Cleber!$B$3:$D$8,3,FALSE)</f>
        <v>2</v>
      </c>
      <c r="E28" s="5">
        <f>VLOOKUP(Cleber!$G$2,'uns dados aí'!$I$3:$J$22,2,FALSE)</f>
        <v>1</v>
      </c>
      <c r="F28" s="5" t="str">
        <f>IF(Tabela1[[#This Row],[Treinada?]]="sim",VLOOKUP(Cleber!$G$2,'uns dados aí'!$E$2:$F$4,2,TRUE),"")</f>
        <v/>
      </c>
      <c r="G28" s="5"/>
      <c r="H28" s="5"/>
      <c r="I28" s="5"/>
      <c r="J28" s="5">
        <f>SUM(Tabela1[[#This Row],[MOD]:[Bônus Habilidade]])-IF(Tabela1[[#This Row],[Penalidade de Armadura?]]="sim",Cleber!$D$16,0)</f>
        <v>3</v>
      </c>
      <c r="K28" s="5" t="s">
        <v>122</v>
      </c>
      <c r="L28" s="5" t="s">
        <v>48</v>
      </c>
      <c r="M28" s="8" t="s">
        <v>47</v>
      </c>
    </row>
    <row r="29" spans="2:17" x14ac:dyDescent="0.25">
      <c r="B29" s="15" t="s">
        <v>76</v>
      </c>
      <c r="C29" s="16" t="s">
        <v>46</v>
      </c>
      <c r="D29" s="16">
        <f>VLOOKUP(C29,Cleber!$B$3:$D$8,3,FALSE)</f>
        <v>2</v>
      </c>
      <c r="E29" s="16">
        <f>VLOOKUP(Cleber!$G$2,'uns dados aí'!$I$3:$J$22,2,FALSE)</f>
        <v>1</v>
      </c>
      <c r="F29" s="16" t="str">
        <f>IF(Tabela1[[#This Row],[Treinada?]]="sim",VLOOKUP(Cleber!$G$2,'uns dados aí'!$E$2:$F$4,2,TRUE),"")</f>
        <v/>
      </c>
      <c r="G29" s="16"/>
      <c r="H29" s="16"/>
      <c r="I29" s="16"/>
      <c r="J29" s="16">
        <f>SUM(Tabela1[[#This Row],[MOD]:[Bônus Habilidade]])-IF(Tabela1[[#This Row],[Penalidade de Armadura?]]="sim",Cleber!$D$16,0)</f>
        <v>3</v>
      </c>
      <c r="K29" s="16" t="s">
        <v>122</v>
      </c>
      <c r="L29" s="16" t="s">
        <v>47</v>
      </c>
      <c r="M29" s="17" t="s">
        <v>47</v>
      </c>
    </row>
    <row r="30" spans="2:17" x14ac:dyDescent="0.25">
      <c r="B30" s="7" t="s">
        <v>77</v>
      </c>
      <c r="C30" s="5" t="s">
        <v>46</v>
      </c>
      <c r="D30" s="5">
        <f>VLOOKUP(C30,Cleber!$B$3:$D$8,3,FALSE)</f>
        <v>2</v>
      </c>
      <c r="E30" s="5">
        <f>VLOOKUP(Cleber!$G$2,'uns dados aí'!$I$3:$J$22,2,FALSE)</f>
        <v>1</v>
      </c>
      <c r="F30" s="5">
        <f>IF(Tabela1[[#This Row],[Treinada?]]="sim",VLOOKUP(Cleber!$G$2,'uns dados aí'!$E$2:$F$4,2,TRUE),"")</f>
        <v>2</v>
      </c>
      <c r="G30" s="5"/>
      <c r="H30" s="5"/>
      <c r="I30" s="5"/>
      <c r="J30" s="5">
        <f>SUM(Tabela1[[#This Row],[MOD]:[Bônus Habilidade]])-IF(Tabela1[[#This Row],[Penalidade de Armadura?]]="sim",Cleber!$D$16,0)</f>
        <v>5</v>
      </c>
      <c r="K30" s="5" t="s">
        <v>48</v>
      </c>
      <c r="L30" s="5" t="s">
        <v>47</v>
      </c>
      <c r="M30" s="8" t="s">
        <v>47</v>
      </c>
    </row>
    <row r="31" spans="2:17" x14ac:dyDescent="0.25">
      <c r="B31" s="15" t="s">
        <v>78</v>
      </c>
      <c r="C31" s="16" t="s">
        <v>58</v>
      </c>
      <c r="D31" s="16">
        <f>VLOOKUP(C31,Cleber!$B$3:$D$8,3,FALSE)</f>
        <v>4</v>
      </c>
      <c r="E31" s="16">
        <f>VLOOKUP(Cleber!$G$2,'uns dados aí'!$I$3:$J$22,2,FALSE)</f>
        <v>1</v>
      </c>
      <c r="F31" s="16" t="str">
        <f>IF(Tabela1[[#This Row],[Treinada?]]="sim",VLOOKUP(Cleber!$G$2,'uns dados aí'!$E$2:$F$4,2,TRUE),"")</f>
        <v/>
      </c>
      <c r="G31" s="16"/>
      <c r="H31" s="16"/>
      <c r="I31" s="16"/>
      <c r="J31" s="16">
        <f>SUM(Tabela1[[#This Row],[MOD]:[Bônus Habilidade]])-IF(Tabela1[[#This Row],[Penalidade de Armadura?]]="sim",Cleber!$D$16,0)</f>
        <v>5</v>
      </c>
      <c r="K31" s="16" t="s">
        <v>122</v>
      </c>
      <c r="L31" s="16" t="s">
        <v>48</v>
      </c>
      <c r="M31" s="17" t="s">
        <v>47</v>
      </c>
    </row>
    <row r="32" spans="2:17" x14ac:dyDescent="0.25">
      <c r="B32" s="7" t="s">
        <v>79</v>
      </c>
      <c r="C32" s="5" t="s">
        <v>58</v>
      </c>
      <c r="D32" s="5">
        <f>VLOOKUP(C32,Cleber!$B$3:$D$8,3,FALSE)</f>
        <v>4</v>
      </c>
      <c r="E32" s="5">
        <f>VLOOKUP(Cleber!$G$2,'uns dados aí'!$I$3:$J$22,2,FALSE)</f>
        <v>1</v>
      </c>
      <c r="F32" s="5" t="str">
        <f>IF(Tabela1[[#This Row],[Treinada?]]="sim",VLOOKUP(Cleber!$G$2,'uns dados aí'!$E$2:$F$4,2,TRUE),"")</f>
        <v/>
      </c>
      <c r="G32" s="5"/>
      <c r="H32" s="5"/>
      <c r="I32" s="5"/>
      <c r="J32" s="5">
        <f>SUM(Tabela1[[#This Row],[MOD]:[Bônus Habilidade]])-IF(Tabela1[[#This Row],[Penalidade de Armadura?]]="sim",Cleber!$D$16,0)</f>
        <v>5</v>
      </c>
      <c r="K32" s="5" t="s">
        <v>122</v>
      </c>
      <c r="L32" s="5" t="s">
        <v>47</v>
      </c>
      <c r="M32" s="8" t="s">
        <v>47</v>
      </c>
    </row>
    <row r="33" spans="2:13" x14ac:dyDescent="0.25">
      <c r="B33" s="18" t="s">
        <v>80</v>
      </c>
      <c r="C33" s="19" t="s">
        <v>58</v>
      </c>
      <c r="D33" s="19">
        <f>VLOOKUP(C33,Cleber!$B$3:$D$8,3,FALSE)</f>
        <v>4</v>
      </c>
      <c r="E33" s="19">
        <f>VLOOKUP(Cleber!$G$2,'uns dados aí'!$I$3:$J$22,2,FALSE)</f>
        <v>1</v>
      </c>
      <c r="F33" s="19">
        <f>IF(Tabela1[[#This Row],[Treinada?]]="sim",VLOOKUP(Cleber!$G$2,'uns dados aí'!$E$2:$F$4,2,TRUE),"")</f>
        <v>2</v>
      </c>
      <c r="G33" s="19"/>
      <c r="H33" s="19"/>
      <c r="I33" s="19"/>
      <c r="J33" s="19">
        <f>SUM(Tabela1[[#This Row],[MOD]:[Bônus Habilidade]])-IF(Tabela1[[#This Row],[Penalidade de Armadura?]]="sim",Cleber!$D$16,0)</f>
        <v>7</v>
      </c>
      <c r="K33" s="19" t="s">
        <v>48</v>
      </c>
      <c r="L33" s="19" t="s">
        <v>47</v>
      </c>
      <c r="M33" s="20" t="s">
        <v>47</v>
      </c>
    </row>
  </sheetData>
  <mergeCells count="2">
    <mergeCell ref="O2:P2"/>
    <mergeCell ref="O7:P7"/>
  </mergeCells>
  <pageMargins left="0.511811024" right="0.511811024" top="0.78740157499999996" bottom="0.78740157499999996" header="0.31496062000000002" footer="0.31496062000000002"/>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83980-A107-4828-85BA-75FA355B6483}">
  <dimension ref="B1:P33"/>
  <sheetViews>
    <sheetView workbookViewId="0">
      <selection activeCell="O24" sqref="O24"/>
    </sheetView>
  </sheetViews>
  <sheetFormatPr defaultRowHeight="15" x14ac:dyDescent="0.25"/>
  <cols>
    <col min="2" max="2" width="22" bestFit="1" customWidth="1"/>
    <col min="3" max="3" width="9.5703125" bestFit="1" customWidth="1"/>
    <col min="4" max="4" width="10.5703125" bestFit="1" customWidth="1"/>
    <col min="5" max="5" width="13.28515625" bestFit="1" customWidth="1"/>
    <col min="6" max="6" width="11.42578125" bestFit="1" customWidth="1"/>
    <col min="7" max="7" width="11.42578125" customWidth="1"/>
    <col min="8" max="8" width="11.140625" bestFit="1" customWidth="1"/>
    <col min="9" max="9" width="21.42578125" bestFit="1" customWidth="1"/>
    <col min="10" max="10" width="10.140625" bestFit="1" customWidth="1"/>
    <col min="11" max="11" width="13.85546875" bestFit="1" customWidth="1"/>
    <col min="12" max="12" width="21.42578125" bestFit="1" customWidth="1"/>
    <col min="13" max="13" width="26.7109375" bestFit="1" customWidth="1"/>
    <col min="14" max="14" width="9.85546875" bestFit="1" customWidth="1"/>
    <col min="15" max="15" width="12.5703125" bestFit="1" customWidth="1"/>
  </cols>
  <sheetData>
    <row r="1" spans="2:16" ht="15.75" thickBot="1" x14ac:dyDescent="0.3"/>
    <row r="2" spans="2:16" ht="15" customHeight="1" thickTop="1" x14ac:dyDescent="0.25">
      <c r="B2" s="9" t="s">
        <v>28</v>
      </c>
      <c r="C2" s="10" t="s">
        <v>81</v>
      </c>
      <c r="D2" s="10" t="s">
        <v>8</v>
      </c>
      <c r="E2" s="10" t="s">
        <v>31</v>
      </c>
      <c r="F2" s="10" t="s">
        <v>82</v>
      </c>
      <c r="G2" s="10" t="s">
        <v>97</v>
      </c>
      <c r="H2" s="10" t="s">
        <v>17</v>
      </c>
      <c r="I2" s="10" t="s">
        <v>109</v>
      </c>
      <c r="J2" s="10" t="s">
        <v>30</v>
      </c>
      <c r="K2" s="11" t="s">
        <v>29</v>
      </c>
      <c r="L2" s="11" t="s">
        <v>43</v>
      </c>
      <c r="M2" s="26" t="s">
        <v>44</v>
      </c>
      <c r="O2" s="76" t="s">
        <v>83</v>
      </c>
      <c r="P2" s="77"/>
    </row>
    <row r="3" spans="2:16" x14ac:dyDescent="0.25">
      <c r="B3" s="15" t="s">
        <v>45</v>
      </c>
      <c r="C3" s="16" t="s">
        <v>46</v>
      </c>
      <c r="D3" s="16">
        <f>VLOOKUP(C3,Cleber!$B$3:$D$8,3,FALSE)</f>
        <v>2</v>
      </c>
      <c r="E3" s="16">
        <f>VLOOKUP(Cleber!$G$2,'uns dados aí'!$I$3:$J$22,2,FALSE)</f>
        <v>1</v>
      </c>
      <c r="F3" s="16" t="str">
        <f>IF(Tabela14[[#This Row],[Treinada?]]="sim",VLOOKUP(Cleber!$G$2,'uns dados aí'!$E$2:$F$4,2,TRUE),"")</f>
        <v/>
      </c>
      <c r="G3" s="16"/>
      <c r="H3" s="16"/>
      <c r="I3" s="16"/>
      <c r="J3" s="16">
        <f>SUM(Tabela14[[#This Row],[MOD]:[Bônus Habilidade]])-IF(Tabela14[[#This Row],[Penalidade de Armadura?]]="sim",Cleber!D16,0)</f>
        <v>3</v>
      </c>
      <c r="K3" s="16" t="s">
        <v>122</v>
      </c>
      <c r="L3" s="16" t="s">
        <v>47</v>
      </c>
      <c r="M3" s="17" t="s">
        <v>48</v>
      </c>
      <c r="O3" s="21" t="s">
        <v>33</v>
      </c>
      <c r="P3" s="22">
        <v>2</v>
      </c>
    </row>
    <row r="4" spans="2:16" x14ac:dyDescent="0.25">
      <c r="B4" s="7" t="s">
        <v>49</v>
      </c>
      <c r="C4" s="5" t="s">
        <v>50</v>
      </c>
      <c r="D4" s="5">
        <f>VLOOKUP(C4,Cleber!$B$3:$D$8,3,FALSE)</f>
        <v>1</v>
      </c>
      <c r="E4" s="5">
        <f>VLOOKUP(Cleber!$G$2,'uns dados aí'!$I$3:$J$22,2,FALSE)</f>
        <v>1</v>
      </c>
      <c r="F4" s="5" t="str">
        <f>IF(Tabela14[[#This Row],[Treinada?]]="sim",VLOOKUP(Cleber!$G$2,'uns dados aí'!$E$2:$F$4,2,TRUE),"")</f>
        <v/>
      </c>
      <c r="G4" s="5"/>
      <c r="H4" s="5"/>
      <c r="I4" s="5"/>
      <c r="J4" s="5">
        <f>SUM(Tabela14[[#This Row],[MOD]:[Bônus Habilidade]])-IF(Tabela14[[#This Row],[Penalidade de Armadura?]]="sim",Cleber!D17,0)</f>
        <v>2</v>
      </c>
      <c r="K4" s="5" t="s">
        <v>122</v>
      </c>
      <c r="L4" s="5" t="s">
        <v>48</v>
      </c>
      <c r="M4" s="8" t="s">
        <v>47</v>
      </c>
      <c r="O4" s="4" t="s">
        <v>39</v>
      </c>
      <c r="P4" s="6">
        <v>4</v>
      </c>
    </row>
    <row r="5" spans="2:16" ht="15.75" thickBot="1" x14ac:dyDescent="0.3">
      <c r="B5" s="15" t="s">
        <v>51</v>
      </c>
      <c r="C5" s="16" t="s">
        <v>52</v>
      </c>
      <c r="D5" s="16">
        <f>VLOOKUP(C5,Cleber!$B$3:$D$8,3,FALSE)</f>
        <v>3</v>
      </c>
      <c r="E5" s="16">
        <f>VLOOKUP(Cleber!$G$2,'uns dados aí'!$I$3:$J$22,2,FALSE)</f>
        <v>1</v>
      </c>
      <c r="F5" s="16" t="str">
        <f>IF(Tabela14[[#This Row],[Treinada?]]="sim",VLOOKUP(Cleber!$G$2,'uns dados aí'!$E$2:$F$4,2,TRUE),"")</f>
        <v/>
      </c>
      <c r="G5" s="16"/>
      <c r="H5" s="16"/>
      <c r="I5" s="16"/>
      <c r="J5" s="16">
        <f>SUM(Tabela14[[#This Row],[MOD]:[Bônus Habilidade]])-IF(Tabela14[[#This Row],[Penalidade de Armadura?]]="sim",Poderes!C1,0)</f>
        <v>4</v>
      </c>
      <c r="K5" s="16" t="s">
        <v>122</v>
      </c>
      <c r="L5" s="16" t="s">
        <v>47</v>
      </c>
      <c r="M5" s="17" t="s">
        <v>47</v>
      </c>
      <c r="O5" s="23" t="s">
        <v>84</v>
      </c>
      <c r="P5" s="24">
        <v>6</v>
      </c>
    </row>
    <row r="6" spans="2:16" ht="16.5" thickTop="1" thickBot="1" x14ac:dyDescent="0.3">
      <c r="B6" s="7" t="s">
        <v>53</v>
      </c>
      <c r="C6" s="5" t="s">
        <v>50</v>
      </c>
      <c r="D6" s="5">
        <f>VLOOKUP(C6,Cleber!$B$3:$D$8,3,FALSE)</f>
        <v>1</v>
      </c>
      <c r="E6" s="5">
        <f>VLOOKUP(Cleber!$G$2,'uns dados aí'!$I$3:$J$22,2,FALSE)</f>
        <v>1</v>
      </c>
      <c r="F6" s="5" t="str">
        <f>IF(Tabela14[[#This Row],[Treinada?]]="sim",VLOOKUP(Cleber!$G$2,'uns dados aí'!$E$2:$F$4,2,TRUE),"")</f>
        <v/>
      </c>
      <c r="G6" s="5"/>
      <c r="H6" s="5"/>
      <c r="I6" s="5"/>
      <c r="J6" s="5">
        <f>SUM(Tabela14[[#This Row],[MOD]:[Bônus Habilidade]])-IF(Tabela14[[#This Row],[Penalidade de Armadura?]]="sim",Poderes!C2,0)</f>
        <v>2</v>
      </c>
      <c r="K6" s="5" t="s">
        <v>122</v>
      </c>
      <c r="L6" s="5" t="s">
        <v>47</v>
      </c>
      <c r="M6" s="8" t="s">
        <v>47</v>
      </c>
    </row>
    <row r="7" spans="2:16" ht="15.75" customHeight="1" thickTop="1" x14ac:dyDescent="0.25">
      <c r="B7" s="15" t="s">
        <v>54</v>
      </c>
      <c r="C7" s="16" t="s">
        <v>46</v>
      </c>
      <c r="D7" s="16">
        <f>VLOOKUP(C7,Cleber!$B$3:$D$8,3,FALSE)</f>
        <v>2</v>
      </c>
      <c r="E7" s="16">
        <f>VLOOKUP(Cleber!$G$2,'uns dados aí'!$I$3:$J$22,2,FALSE)</f>
        <v>1</v>
      </c>
      <c r="F7" s="16" t="str">
        <f>IF(Tabela14[[#This Row],[Treinada?]]="sim",VLOOKUP(Cleber!$G$2,'uns dados aí'!$E$2:$F$4,2,TRUE),"")</f>
        <v/>
      </c>
      <c r="G7" s="16"/>
      <c r="H7" s="16"/>
      <c r="I7" s="16"/>
      <c r="J7" s="16">
        <f>SUM(Tabela14[[#This Row],[MOD]:[Bônus Habilidade]])-IF(Tabela14[[#This Row],[Penalidade de Armadura?]]="sim",Poderes!C3,0)</f>
        <v>3</v>
      </c>
      <c r="K7" s="16" t="s">
        <v>122</v>
      </c>
      <c r="L7" s="16" t="s">
        <v>47</v>
      </c>
      <c r="M7" s="17" t="s">
        <v>47</v>
      </c>
      <c r="O7" s="76" t="s">
        <v>111</v>
      </c>
      <c r="P7" s="77"/>
    </row>
    <row r="8" spans="2:16" ht="15" customHeight="1" x14ac:dyDescent="0.25">
      <c r="B8" s="7" t="s">
        <v>55</v>
      </c>
      <c r="C8" s="5" t="s">
        <v>56</v>
      </c>
      <c r="D8" s="5">
        <f>VLOOKUP(C8,Cleber!$B$3:$D$8,3,FALSE)</f>
        <v>6</v>
      </c>
      <c r="E8" s="5">
        <f>VLOOKUP(Cleber!$G$2,'uns dados aí'!$I$3:$J$22,2,FALSE)</f>
        <v>1</v>
      </c>
      <c r="F8" s="5">
        <f>IF(Tabela14[[#This Row],[Treinada?]]="sim",VLOOKUP(Cleber!$G$2,'uns dados aí'!$E$2:$F$4,2,TRUE),"")</f>
        <v>2</v>
      </c>
      <c r="G8" s="5"/>
      <c r="H8" s="5"/>
      <c r="I8" s="5"/>
      <c r="J8" s="5">
        <f>SUM(Tabela14[[#This Row],[MOD]:[Bônus Habilidade]])-IF(Tabela14[[#This Row],[Penalidade de Armadura?]]="sim",Poderes!C4,0)</f>
        <v>9</v>
      </c>
      <c r="K8" s="5" t="s">
        <v>48</v>
      </c>
      <c r="L8" s="5" t="s">
        <v>48</v>
      </c>
      <c r="M8" s="8" t="s">
        <v>47</v>
      </c>
      <c r="O8" s="21" t="s">
        <v>3</v>
      </c>
      <c r="P8" s="22">
        <f>VLOOKUP(O8,'uns dados aí'!$B$16:$E$22,4,FALSE)</f>
        <v>0</v>
      </c>
    </row>
    <row r="9" spans="2:16" x14ac:dyDescent="0.25">
      <c r="B9" s="15" t="s">
        <v>57</v>
      </c>
      <c r="C9" s="16" t="s">
        <v>58</v>
      </c>
      <c r="D9" s="16">
        <f>VLOOKUP(C9,Cleber!$B$3:$D$8,3,FALSE)</f>
        <v>4</v>
      </c>
      <c r="E9" s="16">
        <f>VLOOKUP(Cleber!$G$2,'uns dados aí'!$I$3:$J$22,2,FALSE)</f>
        <v>1</v>
      </c>
      <c r="F9" s="16">
        <f>IF(Tabela14[[#This Row],[Treinada?]]="sim",VLOOKUP(Cleber!$G$2,'uns dados aí'!$E$2:$F$4,2,TRUE),"")</f>
        <v>2</v>
      </c>
      <c r="G9" s="16"/>
      <c r="H9" s="16"/>
      <c r="I9" s="16"/>
      <c r="J9" s="16">
        <f>SUM(Tabela14[[#This Row],[MOD]:[Bônus Habilidade]])-IF(Tabela14[[#This Row],[Penalidade de Armadura?]]="sim",Poderes!C5,0)</f>
        <v>7</v>
      </c>
      <c r="K9" s="16" t="s">
        <v>48</v>
      </c>
      <c r="L9" s="16" t="s">
        <v>47</v>
      </c>
      <c r="M9" s="17" t="s">
        <v>47</v>
      </c>
      <c r="O9" s="4" t="s">
        <v>4</v>
      </c>
      <c r="P9" s="6">
        <f>VLOOKUP(O9,'uns dados aí'!$B$16:$E$22,4,FALSE)</f>
        <v>2</v>
      </c>
    </row>
    <row r="10" spans="2:16" x14ac:dyDescent="0.25">
      <c r="B10" s="7" t="s">
        <v>59</v>
      </c>
      <c r="C10" s="5" t="s">
        <v>50</v>
      </c>
      <c r="D10" s="5">
        <f>VLOOKUP(C10,Cleber!$B$3:$D$8,3,FALSE)</f>
        <v>1</v>
      </c>
      <c r="E10" s="5">
        <f>VLOOKUP(Cleber!$G$2,'uns dados aí'!$I$3:$J$22,2,FALSE)</f>
        <v>1</v>
      </c>
      <c r="F10" s="5" t="str">
        <f>IF(Tabela14[[#This Row],[Treinada?]]="sim",VLOOKUP(Cleber!$G$2,'uns dados aí'!$E$2:$F$4,2,TRUE),"")</f>
        <v/>
      </c>
      <c r="G10" s="5"/>
      <c r="H10" s="5"/>
      <c r="I10" s="5"/>
      <c r="J10" s="5">
        <f>SUM(Tabela14[[#This Row],[MOD]:[Bônus Habilidade]])-IF(Tabela14[[#This Row],[Penalidade de Armadura?]]="sim",Poderes!C6,0)</f>
        <v>2</v>
      </c>
      <c r="K10" s="5" t="s">
        <v>122</v>
      </c>
      <c r="L10" s="5" t="s">
        <v>47</v>
      </c>
      <c r="M10" s="8" t="s">
        <v>47</v>
      </c>
      <c r="O10" s="21" t="s">
        <v>12</v>
      </c>
      <c r="P10" s="22">
        <f>VLOOKUP(O10,'uns dados aí'!$B$16:$E$22,4,FALSE)</f>
        <v>-2</v>
      </c>
    </row>
    <row r="11" spans="2:16" x14ac:dyDescent="0.25">
      <c r="B11" s="15" t="s">
        <v>60</v>
      </c>
      <c r="C11" s="16" t="s">
        <v>50</v>
      </c>
      <c r="D11" s="16">
        <f>VLOOKUP(C11,Cleber!$B$3:$D$8,3,FALSE)</f>
        <v>1</v>
      </c>
      <c r="E11" s="16">
        <f>VLOOKUP(Cleber!$G$2,'uns dados aí'!$I$3:$J$22,2,FALSE)</f>
        <v>1</v>
      </c>
      <c r="F11" s="16" t="str">
        <f>IF(Tabela14[[#This Row],[Treinada?]]="sim",VLOOKUP(Cleber!$G$2,'uns dados aí'!$E$2:$F$4,2,TRUE),"")</f>
        <v/>
      </c>
      <c r="G11" s="16"/>
      <c r="H11" s="16"/>
      <c r="I11" s="16"/>
      <c r="J11" s="16">
        <f>SUM(Tabela14[[#This Row],[MOD]:[Bônus Habilidade]])-IF(Tabela14[[#This Row],[Penalidade de Armadura?]]="sim",Poderes!C7,0)</f>
        <v>2</v>
      </c>
      <c r="K11" s="16" t="s">
        <v>122</v>
      </c>
      <c r="L11" s="16" t="s">
        <v>47</v>
      </c>
      <c r="M11" s="17" t="s">
        <v>47</v>
      </c>
      <c r="O11" s="4" t="s">
        <v>5</v>
      </c>
      <c r="P11" s="6">
        <f>VLOOKUP(O11,'uns dados aí'!$B$16:$E$22,4,FALSE)</f>
        <v>4</v>
      </c>
    </row>
    <row r="12" spans="2:16" x14ac:dyDescent="0.25">
      <c r="B12" s="7" t="s">
        <v>61</v>
      </c>
      <c r="C12" s="5" t="s">
        <v>62</v>
      </c>
      <c r="D12" s="5">
        <f>VLOOKUP(C12,Cleber!$B$3:$D$8,3,FALSE)</f>
        <v>1</v>
      </c>
      <c r="E12" s="5">
        <f>VLOOKUP(Cleber!$G$2,'uns dados aí'!$I$3:$J$22,2,FALSE)</f>
        <v>1</v>
      </c>
      <c r="F12" s="5" t="str">
        <f>IF(Tabela14[[#This Row],[Treinada?]]="sim",VLOOKUP(Cleber!$G$2,'uns dados aí'!$E$2:$F$4,2,TRUE),"")</f>
        <v/>
      </c>
      <c r="G12" s="5"/>
      <c r="H12" s="5"/>
      <c r="I12" s="5"/>
      <c r="J12" s="5">
        <f>SUM(Tabela14[[#This Row],[MOD]:[Bônus Habilidade]])-IF(Tabela14[[#This Row],[Penalidade de Armadura?]]="sim",Poderes!C8,0)</f>
        <v>2</v>
      </c>
      <c r="K12" s="5" t="s">
        <v>122</v>
      </c>
      <c r="L12" s="5" t="s">
        <v>47</v>
      </c>
      <c r="M12" s="8" t="s">
        <v>47</v>
      </c>
      <c r="O12" s="21" t="s">
        <v>6</v>
      </c>
      <c r="P12" s="22">
        <f>VLOOKUP(O12,'uns dados aí'!$B$16:$E$22,4,FALSE)</f>
        <v>2</v>
      </c>
    </row>
    <row r="13" spans="2:16" ht="15.75" thickBot="1" x14ac:dyDescent="0.3">
      <c r="B13" s="15" t="s">
        <v>63</v>
      </c>
      <c r="C13" s="16" t="s">
        <v>46</v>
      </c>
      <c r="D13" s="16">
        <f>VLOOKUP(C13,Cleber!$B$3:$D$8,3,FALSE)</f>
        <v>2</v>
      </c>
      <c r="E13" s="16">
        <f>VLOOKUP(Cleber!$G$2,'uns dados aí'!$I$3:$J$22,2,FALSE)</f>
        <v>1</v>
      </c>
      <c r="F13" s="16" t="str">
        <f>IF(Tabela14[[#This Row],[Treinada?]]="sim",VLOOKUP(Cleber!$G$2,'uns dados aí'!$E$2:$F$4,2,TRUE),"")</f>
        <v/>
      </c>
      <c r="G13" s="16"/>
      <c r="H13" s="16"/>
      <c r="I13" s="16"/>
      <c r="J13" s="16">
        <f>SUM(Tabela14[[#This Row],[MOD]:[Bônus Habilidade]])-IF(Tabela14[[#This Row],[Penalidade de Armadura?]]="sim",Poderes!C9,0)</f>
        <v>3</v>
      </c>
      <c r="K13" s="16" t="s">
        <v>122</v>
      </c>
      <c r="L13" s="16" t="s">
        <v>47</v>
      </c>
      <c r="M13" s="17" t="s">
        <v>48</v>
      </c>
      <c r="O13" s="12" t="s">
        <v>7</v>
      </c>
      <c r="P13" s="14">
        <f>VLOOKUP(O13,'uns dados aí'!$B$16:$E$22,4,FALSE)</f>
        <v>0</v>
      </c>
    </row>
    <row r="14" spans="2:16" ht="15.75" thickTop="1" x14ac:dyDescent="0.25">
      <c r="B14" s="7" t="s">
        <v>64</v>
      </c>
      <c r="C14" s="5" t="s">
        <v>56</v>
      </c>
      <c r="D14" s="5">
        <f>VLOOKUP(C14,Cleber!$B$3:$D$8,3,FALSE)</f>
        <v>6</v>
      </c>
      <c r="E14" s="5">
        <f>VLOOKUP(Cleber!$G$2,'uns dados aí'!$I$3:$J$22,2,FALSE)</f>
        <v>1</v>
      </c>
      <c r="F14" s="5">
        <f>IF(Tabela14[[#This Row],[Treinada?]]="sim",VLOOKUP(Cleber!$G$2,'uns dados aí'!$E$2:$F$4,2,TRUE),"")</f>
        <v>2</v>
      </c>
      <c r="G14" s="5"/>
      <c r="H14" s="5">
        <v>1</v>
      </c>
      <c r="I14" s="5"/>
      <c r="J14" s="5">
        <f>SUM(Tabela14[[#This Row],[MOD]:[Bônus Habilidade]])-IF(Tabela14[[#This Row],[Penalidade de Armadura?]]="sim",Poderes!C10,0)</f>
        <v>10</v>
      </c>
      <c r="K14" s="5" t="s">
        <v>48</v>
      </c>
      <c r="L14" s="5" t="s">
        <v>48</v>
      </c>
      <c r="M14" s="8" t="s">
        <v>47</v>
      </c>
    </row>
    <row r="15" spans="2:16" x14ac:dyDescent="0.25">
      <c r="B15" s="15" t="s">
        <v>65</v>
      </c>
      <c r="C15" s="16" t="s">
        <v>46</v>
      </c>
      <c r="D15" s="16">
        <f>VLOOKUP(C15,Cleber!$B$3:$D$8,3,FALSE)</f>
        <v>2</v>
      </c>
      <c r="E15" s="16">
        <f>VLOOKUP(Cleber!$G$2,'uns dados aí'!$I$3:$J$22,2,FALSE)</f>
        <v>1</v>
      </c>
      <c r="F15" s="16" t="str">
        <f>IF(Tabela14[[#This Row],[Treinada?]]="sim",VLOOKUP(Cleber!$G$2,'uns dados aí'!$E$2:$F$4,2,TRUE),"")</f>
        <v/>
      </c>
      <c r="G15" s="16"/>
      <c r="H15" s="16"/>
      <c r="I15" s="16"/>
      <c r="J15" s="16">
        <f>SUM(Tabela14[[#This Row],[MOD]:[Bônus Habilidade]])-IF(Tabela14[[#This Row],[Penalidade de Armadura?]]="sim",Poderes!C11,0)</f>
        <v>3</v>
      </c>
      <c r="K15" s="16" t="s">
        <v>122</v>
      </c>
      <c r="L15" s="16" t="s">
        <v>47</v>
      </c>
      <c r="M15" s="17" t="s">
        <v>47</v>
      </c>
    </row>
    <row r="16" spans="2:16" x14ac:dyDescent="0.25">
      <c r="B16" s="7" t="s">
        <v>66</v>
      </c>
      <c r="C16" s="5" t="s">
        <v>50</v>
      </c>
      <c r="D16" s="5">
        <f>VLOOKUP(C16,Cleber!$B$3:$D$8,3,FALSE)</f>
        <v>1</v>
      </c>
      <c r="E16" s="5">
        <f>VLOOKUP(Cleber!$G$2,'uns dados aí'!$I$3:$J$22,2,FALSE)</f>
        <v>1</v>
      </c>
      <c r="F16" s="5" t="str">
        <f>IF(Tabela14[[#This Row],[Treinada?]]="sim",VLOOKUP(Cleber!$G$2,'uns dados aí'!$E$2:$F$4,2,TRUE),"")</f>
        <v/>
      </c>
      <c r="G16" s="5"/>
      <c r="H16" s="5"/>
      <c r="I16" s="5"/>
      <c r="J16" s="5">
        <f>SUM(Tabela14[[#This Row],[MOD]:[Bônus Habilidade]])-IF(Tabela14[[#This Row],[Penalidade de Armadura?]]="sim",Poderes!C12,0)</f>
        <v>2</v>
      </c>
      <c r="K16" s="5" t="s">
        <v>122</v>
      </c>
      <c r="L16" s="5" t="s">
        <v>47</v>
      </c>
      <c r="M16" s="8" t="s">
        <v>47</v>
      </c>
    </row>
    <row r="17" spans="2:13" x14ac:dyDescent="0.25">
      <c r="B17" s="15" t="s">
        <v>67</v>
      </c>
      <c r="C17" s="16" t="s">
        <v>58</v>
      </c>
      <c r="D17" s="16">
        <f>VLOOKUP(C17,Cleber!$B$3:$D$8,3,FALSE)</f>
        <v>4</v>
      </c>
      <c r="E17" s="16">
        <f>VLOOKUP(Cleber!$G$2,'uns dados aí'!$I$3:$J$22,2,FALSE)</f>
        <v>1</v>
      </c>
      <c r="F17" s="16" t="str">
        <f>IF(Tabela14[[#This Row],[Treinada?]]="sim",VLOOKUP(Cleber!$G$2,'uns dados aí'!$E$2:$F$4,2,TRUE),"")</f>
        <v/>
      </c>
      <c r="G17" s="16"/>
      <c r="H17" s="16"/>
      <c r="I17" s="16"/>
      <c r="J17" s="16">
        <f>SUM(Tabela14[[#This Row],[MOD]:[Bônus Habilidade]])-IF(Tabela14[[#This Row],[Penalidade de Armadura?]]="sim",Poderes!C13,0)</f>
        <v>5</v>
      </c>
      <c r="K17" s="16" t="s">
        <v>122</v>
      </c>
      <c r="L17" s="16" t="s">
        <v>47</v>
      </c>
      <c r="M17" s="17" t="s">
        <v>47</v>
      </c>
    </row>
    <row r="18" spans="2:13" x14ac:dyDescent="0.25">
      <c r="B18" s="7" t="s">
        <v>68</v>
      </c>
      <c r="C18" s="5" t="s">
        <v>56</v>
      </c>
      <c r="D18" s="5">
        <f>VLOOKUP(C18,Cleber!$B$3:$D$8,3,FALSE)</f>
        <v>6</v>
      </c>
      <c r="E18" s="5">
        <f>VLOOKUP(Cleber!$G$2,'uns dados aí'!$I$3:$J$22,2,FALSE)</f>
        <v>1</v>
      </c>
      <c r="F18" s="5">
        <f>IF(Tabela14[[#This Row],[Treinada?]]="sim",VLOOKUP(Cleber!$G$2,'uns dados aí'!$E$2:$F$4,2,TRUE),"")</f>
        <v>2</v>
      </c>
      <c r="G18" s="5"/>
      <c r="H18" s="5"/>
      <c r="I18" s="5"/>
      <c r="J18" s="5">
        <f>SUM(Tabela14[[#This Row],[MOD]:[Bônus Habilidade]])-IF(Tabela14[[#This Row],[Penalidade de Armadura?]]="sim",Poderes!C14,0)</f>
        <v>9</v>
      </c>
      <c r="K18" s="5" t="s">
        <v>48</v>
      </c>
      <c r="L18" s="5" t="s">
        <v>47</v>
      </c>
      <c r="M18" s="8" t="s">
        <v>47</v>
      </c>
    </row>
    <row r="19" spans="2:13" x14ac:dyDescent="0.25">
      <c r="B19" s="15" t="s">
        <v>69</v>
      </c>
      <c r="C19" s="16" t="s">
        <v>50</v>
      </c>
      <c r="D19" s="16">
        <f>VLOOKUP(C19,Cleber!$B$3:$D$8,3,FALSE)</f>
        <v>1</v>
      </c>
      <c r="E19" s="16">
        <f>VLOOKUP(Cleber!$G$2,'uns dados aí'!$I$3:$J$22,2,FALSE)</f>
        <v>1</v>
      </c>
      <c r="F19" s="16" t="str">
        <f>IF(Tabela14[[#This Row],[Treinada?]]="sim",VLOOKUP(Cleber!$G$2,'uns dados aí'!$E$2:$F$4,2,TRUE),"")</f>
        <v/>
      </c>
      <c r="G19" s="16"/>
      <c r="H19" s="16"/>
      <c r="I19" s="16"/>
      <c r="J19" s="16">
        <f>SUM(Tabela14[[#This Row],[MOD]:[Bônus Habilidade]])-IF(Tabela14[[#This Row],[Penalidade de Armadura?]]="sim",Poderes!C15,0)</f>
        <v>2</v>
      </c>
      <c r="K19" s="16" t="s">
        <v>122</v>
      </c>
      <c r="L19" s="16" t="s">
        <v>48</v>
      </c>
      <c r="M19" s="17" t="s">
        <v>47</v>
      </c>
    </row>
    <row r="20" spans="2:13" x14ac:dyDescent="0.25">
      <c r="B20" s="7" t="s">
        <v>70</v>
      </c>
      <c r="C20" s="5" t="s">
        <v>46</v>
      </c>
      <c r="D20" s="5">
        <f>VLOOKUP(C20,Cleber!$B$3:$D$8,3,FALSE)</f>
        <v>2</v>
      </c>
      <c r="E20" s="5">
        <f>VLOOKUP(Cleber!$G$2,'uns dados aí'!$I$3:$J$22,2,FALSE)</f>
        <v>1</v>
      </c>
      <c r="F20" s="5" t="str">
        <f>IF(Tabela14[[#This Row],[Treinada?]]="sim",VLOOKUP(Cleber!$G$2,'uns dados aí'!$E$2:$F$4,2,TRUE),"")</f>
        <v/>
      </c>
      <c r="G20" s="5"/>
      <c r="H20" s="5"/>
      <c r="I20" s="5"/>
      <c r="J20" s="5">
        <f>SUM(Tabela14[[#This Row],[MOD]:[Bônus Habilidade]])-IF(Tabela14[[#This Row],[Penalidade de Armadura?]]="sim",Poderes!C16,0)</f>
        <v>3</v>
      </c>
      <c r="K20" s="5" t="s">
        <v>122</v>
      </c>
      <c r="L20" s="5" t="s">
        <v>48</v>
      </c>
      <c r="M20" s="8" t="s">
        <v>48</v>
      </c>
    </row>
    <row r="21" spans="2:13" x14ac:dyDescent="0.25">
      <c r="B21" s="15" t="s">
        <v>71</v>
      </c>
      <c r="C21" s="16" t="s">
        <v>52</v>
      </c>
      <c r="D21" s="16">
        <f>VLOOKUP(C21,Cleber!$B$3:$D$8,3,FALSE)</f>
        <v>3</v>
      </c>
      <c r="E21" s="16">
        <f>VLOOKUP(Cleber!$G$2,'uns dados aí'!$I$3:$J$22,2,FALSE)</f>
        <v>1</v>
      </c>
      <c r="F21" s="16">
        <f>IF(Tabela14[[#This Row],[Treinada?]]="sim",VLOOKUP(Cleber!$G$2,'uns dados aí'!$E$2:$F$4,2,TRUE),"")</f>
        <v>2</v>
      </c>
      <c r="G21" s="16"/>
      <c r="H21" s="16"/>
      <c r="I21" s="16"/>
      <c r="J21" s="16">
        <f>SUM(Tabela14[[#This Row],[MOD]:[Bônus Habilidade]])-IF(Tabela14[[#This Row],[Penalidade de Armadura?]]="sim",Poderes!C17,0)</f>
        <v>6</v>
      </c>
      <c r="K21" s="16" t="s">
        <v>48</v>
      </c>
      <c r="L21" s="16" t="s">
        <v>47</v>
      </c>
      <c r="M21" s="17" t="s">
        <v>47</v>
      </c>
    </row>
    <row r="22" spans="2:13" x14ac:dyDescent="0.25">
      <c r="B22" s="7" t="s">
        <v>72</v>
      </c>
      <c r="C22" s="5" t="s">
        <v>56</v>
      </c>
      <c r="D22" s="5">
        <f>VLOOKUP(C22,Cleber!$B$3:$D$8,3,FALSE)</f>
        <v>6</v>
      </c>
      <c r="E22" s="5">
        <f>VLOOKUP(Cleber!$G$2,'uns dados aí'!$I$3:$J$22,2,FALSE)</f>
        <v>1</v>
      </c>
      <c r="F22" s="5">
        <f>IF(Tabela14[[#This Row],[Treinada?]]="sim",VLOOKUP(Cleber!$G$2,'uns dados aí'!$E$2:$F$4,2,TRUE),"")</f>
        <v>2</v>
      </c>
      <c r="G22" s="5">
        <v>2</v>
      </c>
      <c r="H22" s="5"/>
      <c r="I22" s="5"/>
      <c r="J22" s="5">
        <f>SUM(Tabela14[[#This Row],[MOD]:[Bônus Habilidade]])-IF(Tabela14[[#This Row],[Penalidade de Armadura?]]="sim",Poderes!C18,0)</f>
        <v>11</v>
      </c>
      <c r="K22" s="5" t="s">
        <v>48</v>
      </c>
      <c r="L22" s="5" t="s">
        <v>48</v>
      </c>
      <c r="M22" s="8" t="s">
        <v>47</v>
      </c>
    </row>
    <row r="23" spans="2:13" x14ac:dyDescent="0.25">
      <c r="B23" s="15" t="s">
        <v>73</v>
      </c>
      <c r="C23" s="16" t="s">
        <v>56</v>
      </c>
      <c r="D23" s="16">
        <f>VLOOKUP(C23,Cleber!$B$3:$D$8,3,FALSE)</f>
        <v>6</v>
      </c>
      <c r="E23" s="16">
        <f>VLOOKUP(Cleber!$G$2,'uns dados aí'!$I$3:$J$22,2,FALSE)</f>
        <v>1</v>
      </c>
      <c r="F23" s="16" t="str">
        <f>IF(Tabela14[[#This Row],[Treinada?]]="sim",VLOOKUP(Cleber!$G$2,'uns dados aí'!$E$2:$F$4,2,TRUE),"")</f>
        <v/>
      </c>
      <c r="G23" s="16"/>
      <c r="H23" s="16"/>
      <c r="I23" s="16"/>
      <c r="J23" s="16">
        <f>SUM(Tabela14[[#This Row],[MOD]:[Bônus Habilidade]])-IF(Tabela14[[#This Row],[Penalidade de Armadura?]]="sim",Poderes!C19,0)</f>
        <v>7</v>
      </c>
      <c r="K23" s="16" t="s">
        <v>122</v>
      </c>
      <c r="L23" s="16" t="s">
        <v>48</v>
      </c>
      <c r="M23" s="17" t="s">
        <v>47</v>
      </c>
    </row>
    <row r="24" spans="2:13" x14ac:dyDescent="0.25">
      <c r="B24" s="7" t="s">
        <v>115</v>
      </c>
      <c r="C24" s="5" t="s">
        <v>56</v>
      </c>
      <c r="D24" s="5">
        <f>VLOOKUP(C24,Cleber!$B$3:$D$8,3,FALSE)</f>
        <v>6</v>
      </c>
      <c r="E24" s="5">
        <f>VLOOKUP(Cleber!$G$2,'uns dados aí'!$I$3:$J$22,2,FALSE)</f>
        <v>1</v>
      </c>
      <c r="F24" s="5">
        <f>IF(Tabela14[[#This Row],[Treinada?]]="sim",VLOOKUP(Cleber!$G$2,'uns dados aí'!$E$2:$F$4,2,TRUE),"")</f>
        <v>2</v>
      </c>
      <c r="G24" s="5"/>
      <c r="H24" s="5"/>
      <c r="I24" s="5"/>
      <c r="J24" s="5">
        <f>SUM(Tabela14[[#This Row],[MOD]:[Bônus Habilidade]])-IF(Tabela14[[#This Row],[Penalidade de Armadura?]]="sim",Poderes!C20,0)</f>
        <v>9</v>
      </c>
      <c r="K24" s="5" t="s">
        <v>48</v>
      </c>
      <c r="L24" s="5" t="s">
        <v>48</v>
      </c>
      <c r="M24" s="8" t="s">
        <v>47</v>
      </c>
    </row>
    <row r="25" spans="2:13" x14ac:dyDescent="0.25">
      <c r="B25" s="15" t="s">
        <v>116</v>
      </c>
      <c r="C25" s="16" t="s">
        <v>56</v>
      </c>
      <c r="D25" s="16">
        <f>VLOOKUP(C25,Cleber!$B$3:$D$8,3,FALSE)</f>
        <v>6</v>
      </c>
      <c r="E25" s="16">
        <f>VLOOKUP(Cleber!$G$2,'uns dados aí'!$I$3:$J$22,2,FALSE)</f>
        <v>1</v>
      </c>
      <c r="F25" s="16">
        <f>IF(Tabela14[[#This Row],[Treinada?]]="sim",VLOOKUP(Cleber!$G$2,'uns dados aí'!$E$2:$F$4,2,TRUE),"")</f>
        <v>2</v>
      </c>
      <c r="G25" s="16"/>
      <c r="H25" s="16"/>
      <c r="I25" s="16"/>
      <c r="J25" s="16">
        <f>SUM(Tabela14[[#This Row],[MOD]:[Bônus Habilidade]])-IF(Tabela14[[#This Row],[Penalidade de Armadura?]]="sim",Poderes!C21,0)</f>
        <v>9</v>
      </c>
      <c r="K25" s="16" t="s">
        <v>48</v>
      </c>
      <c r="L25" s="16" t="s">
        <v>48</v>
      </c>
      <c r="M25" s="17" t="s">
        <v>47</v>
      </c>
    </row>
    <row r="26" spans="2:13" x14ac:dyDescent="0.25">
      <c r="B26" s="44" t="s">
        <v>114</v>
      </c>
      <c r="C26" s="5" t="s">
        <v>56</v>
      </c>
      <c r="D26" s="5">
        <f>VLOOKUP(C26,Cleber!$B$3:$D$8,3,FALSE)</f>
        <v>6</v>
      </c>
      <c r="E26" s="5">
        <f>VLOOKUP(Cleber!$G$2,'uns dados aí'!$I$3:$J$22,2,FALSE)</f>
        <v>1</v>
      </c>
      <c r="F26" s="5">
        <f>IF(Tabela14[[#This Row],[Treinada?]]="sim",VLOOKUP(Cleber!$G$2,'uns dados aí'!$E$2:$F$4,2,TRUE),"")</f>
        <v>2</v>
      </c>
      <c r="G26" s="5"/>
      <c r="H26" s="5"/>
      <c r="I26" s="5"/>
      <c r="J26" s="5">
        <f>SUM(Tabela14[[#This Row],[MOD]:[Bônus Habilidade]])-IF(Tabela14[[#This Row],[Penalidade de Armadura?]]="sim",Poderes!C22,0)</f>
        <v>9</v>
      </c>
      <c r="K26" s="5" t="s">
        <v>48</v>
      </c>
      <c r="L26" s="5" t="s">
        <v>48</v>
      </c>
      <c r="M26" s="8" t="s">
        <v>47</v>
      </c>
    </row>
    <row r="27" spans="2:13" x14ac:dyDescent="0.25">
      <c r="B27" s="15" t="s">
        <v>74</v>
      </c>
      <c r="C27" s="16" t="s">
        <v>58</v>
      </c>
      <c r="D27" s="16">
        <f>VLOOKUP(C27,Cleber!$B$3:$D$8,3,FALSE)</f>
        <v>4</v>
      </c>
      <c r="E27" s="16">
        <f>VLOOKUP(Cleber!$G$2,'uns dados aí'!$I$3:$J$22,2,FALSE)</f>
        <v>1</v>
      </c>
      <c r="F27" s="16">
        <f>IF(Tabela14[[#This Row],[Treinada?]]="sim",VLOOKUP(Cleber!$G$2,'uns dados aí'!$E$2:$F$4,2,TRUE),"")</f>
        <v>2</v>
      </c>
      <c r="G27" s="16">
        <v>2</v>
      </c>
      <c r="H27" s="16"/>
      <c r="I27" s="16"/>
      <c r="J27" s="16">
        <f>SUM(Tabela14[[#This Row],[MOD]:[Bônus Habilidade]])-IF(Tabela14[[#This Row],[Penalidade de Armadura?]]="sim",Cleber!D40,0)</f>
        <v>9</v>
      </c>
      <c r="K27" s="16" t="s">
        <v>48</v>
      </c>
      <c r="L27" s="16" t="s">
        <v>47</v>
      </c>
      <c r="M27" s="17" t="s">
        <v>47</v>
      </c>
    </row>
    <row r="28" spans="2:13" x14ac:dyDescent="0.25">
      <c r="B28" s="7" t="s">
        <v>75</v>
      </c>
      <c r="C28" s="5" t="s">
        <v>46</v>
      </c>
      <c r="D28" s="5">
        <f>VLOOKUP(C28,Cleber!$B$3:$D$8,3,FALSE)</f>
        <v>2</v>
      </c>
      <c r="E28" s="5">
        <f>VLOOKUP(Cleber!$G$2,'uns dados aí'!$I$3:$J$22,2,FALSE)</f>
        <v>1</v>
      </c>
      <c r="F28" s="5" t="str">
        <f>IF(Tabela14[[#This Row],[Treinada?]]="sim",VLOOKUP(Cleber!$G$2,'uns dados aí'!$E$2:$F$4,2,TRUE),"")</f>
        <v/>
      </c>
      <c r="G28" s="5"/>
      <c r="H28" s="5"/>
      <c r="I28" s="5"/>
      <c r="J28" s="5">
        <f>SUM(Tabela14[[#This Row],[MOD]:[Bônus Habilidade]])-IF(Tabela14[[#This Row],[Penalidade de Armadura?]]="sim",Poderes!K1,0)</f>
        <v>3</v>
      </c>
      <c r="K28" s="5" t="s">
        <v>122</v>
      </c>
      <c r="L28" s="5" t="s">
        <v>48</v>
      </c>
      <c r="M28" s="8" t="s">
        <v>47</v>
      </c>
    </row>
    <row r="29" spans="2:13" x14ac:dyDescent="0.25">
      <c r="B29" s="15" t="s">
        <v>76</v>
      </c>
      <c r="C29" s="16" t="s">
        <v>46</v>
      </c>
      <c r="D29" s="16">
        <f>VLOOKUP(C29,Cleber!$B$3:$D$8,3,FALSE)</f>
        <v>2</v>
      </c>
      <c r="E29" s="16">
        <f>VLOOKUP(Cleber!$G$2,'uns dados aí'!$I$3:$J$22,2,FALSE)</f>
        <v>1</v>
      </c>
      <c r="F29" s="16" t="str">
        <f>IF(Tabela14[[#This Row],[Treinada?]]="sim",VLOOKUP(Cleber!$G$2,'uns dados aí'!$E$2:$F$4,2,TRUE),"")</f>
        <v/>
      </c>
      <c r="G29" s="16"/>
      <c r="H29" s="16"/>
      <c r="I29" s="16"/>
      <c r="J29" s="16">
        <f>SUM(Tabela14[[#This Row],[MOD]:[Bônus Habilidade]])-IF(Tabela14[[#This Row],[Penalidade de Armadura?]]="sim",Poderes!K2,0)</f>
        <v>3</v>
      </c>
      <c r="K29" s="16" t="s">
        <v>122</v>
      </c>
      <c r="L29" s="16" t="s">
        <v>47</v>
      </c>
      <c r="M29" s="17" t="s">
        <v>47</v>
      </c>
    </row>
    <row r="30" spans="2:13" x14ac:dyDescent="0.25">
      <c r="B30" s="7" t="s">
        <v>77</v>
      </c>
      <c r="C30" s="5" t="s">
        <v>46</v>
      </c>
      <c r="D30" s="5">
        <f>VLOOKUP(C30,Cleber!$B$3:$D$8,3,FALSE)</f>
        <v>2</v>
      </c>
      <c r="E30" s="5">
        <f>VLOOKUP(Cleber!$G$2,'uns dados aí'!$I$3:$J$22,2,FALSE)</f>
        <v>1</v>
      </c>
      <c r="F30" s="5">
        <f>IF(Tabela14[[#This Row],[Treinada?]]="sim",VLOOKUP(Cleber!$G$2,'uns dados aí'!$E$2:$F$4,2,TRUE),"")</f>
        <v>2</v>
      </c>
      <c r="G30" s="5"/>
      <c r="H30" s="5"/>
      <c r="I30" s="5"/>
      <c r="J30" s="5">
        <f>SUM(Tabela14[[#This Row],[MOD]:[Bônus Habilidade]])-IF(Tabela14[[#This Row],[Penalidade de Armadura?]]="sim",Poderes!#REF!,0)</f>
        <v>5</v>
      </c>
      <c r="K30" s="5" t="s">
        <v>48</v>
      </c>
      <c r="L30" s="5" t="s">
        <v>47</v>
      </c>
      <c r="M30" s="8" t="s">
        <v>47</v>
      </c>
    </row>
    <row r="31" spans="2:13" x14ac:dyDescent="0.25">
      <c r="B31" s="15" t="s">
        <v>78</v>
      </c>
      <c r="C31" s="16" t="s">
        <v>58</v>
      </c>
      <c r="D31" s="16">
        <f>VLOOKUP(C31,Cleber!$B$3:$D$8,3,FALSE)</f>
        <v>4</v>
      </c>
      <c r="E31" s="16">
        <f>VLOOKUP(Cleber!$G$2,'uns dados aí'!$I$3:$J$22,2,FALSE)</f>
        <v>1</v>
      </c>
      <c r="F31" s="16">
        <f>IF(Tabela14[[#This Row],[Treinada?]]="sim",VLOOKUP(Cleber!$G$2,'uns dados aí'!$E$2:$F$4,2,TRUE),"")</f>
        <v>2</v>
      </c>
      <c r="G31" s="16"/>
      <c r="H31" s="16"/>
      <c r="I31" s="16"/>
      <c r="J31" s="16">
        <f>SUM(Tabela14[[#This Row],[MOD]:[Bônus Habilidade]])-IF(Tabela14[[#This Row],[Penalidade de Armadura?]]="sim",Poderes!#REF!,0)</f>
        <v>7</v>
      </c>
      <c r="K31" s="16" t="s">
        <v>48</v>
      </c>
      <c r="L31" s="16" t="s">
        <v>48</v>
      </c>
      <c r="M31" s="17" t="s">
        <v>47</v>
      </c>
    </row>
    <row r="32" spans="2:13" x14ac:dyDescent="0.25">
      <c r="B32" s="7" t="s">
        <v>79</v>
      </c>
      <c r="C32" s="5" t="s">
        <v>58</v>
      </c>
      <c r="D32" s="5">
        <f>VLOOKUP(C32,Cleber!$B$3:$D$8,3,FALSE)</f>
        <v>4</v>
      </c>
      <c r="E32" s="5">
        <f>VLOOKUP(Cleber!$G$2,'uns dados aí'!$I$3:$J$22,2,FALSE)</f>
        <v>1</v>
      </c>
      <c r="F32" s="5" t="str">
        <f>IF(Tabela14[[#This Row],[Treinada?]]="sim",VLOOKUP(Cleber!$G$2,'uns dados aí'!$E$2:$F$4,2,TRUE),"")</f>
        <v/>
      </c>
      <c r="G32" s="5"/>
      <c r="H32" s="5"/>
      <c r="I32" s="5"/>
      <c r="J32" s="5">
        <f>SUM(Tabela14[[#This Row],[MOD]:[Bônus Habilidade]])-IF(Tabela14[[#This Row],[Penalidade de Armadura?]]="sim",Poderes!#REF!,0)</f>
        <v>5</v>
      </c>
      <c r="K32" s="5" t="s">
        <v>122</v>
      </c>
      <c r="L32" s="5" t="s">
        <v>47</v>
      </c>
      <c r="M32" s="8" t="s">
        <v>47</v>
      </c>
    </row>
    <row r="33" spans="2:13" x14ac:dyDescent="0.25">
      <c r="B33" s="18" t="s">
        <v>80</v>
      </c>
      <c r="C33" s="19" t="s">
        <v>58</v>
      </c>
      <c r="D33" s="19">
        <f>VLOOKUP(C33,Cleber!$B$3:$D$8,3,FALSE)</f>
        <v>4</v>
      </c>
      <c r="E33" s="19">
        <f>VLOOKUP(Cleber!$G$2,'uns dados aí'!$I$3:$J$22,2,FALSE)</f>
        <v>1</v>
      </c>
      <c r="F33" s="19">
        <f>IF(Tabela14[[#This Row],[Treinada?]]="sim",VLOOKUP(Cleber!$G$2,'uns dados aí'!$E$2:$F$4,2,TRUE),"")</f>
        <v>2</v>
      </c>
      <c r="G33" s="19"/>
      <c r="H33" s="19"/>
      <c r="I33" s="19"/>
      <c r="J33" s="19">
        <f>SUM(Tabela14[[#This Row],[MOD]:[Bônus Habilidade]])-IF(Tabela14[[#This Row],[Penalidade de Armadura?]]="sim",Poderes!#REF!,0)</f>
        <v>7</v>
      </c>
      <c r="K33" s="19" t="s">
        <v>48</v>
      </c>
      <c r="L33" s="19" t="s">
        <v>47</v>
      </c>
      <c r="M33" s="20" t="s">
        <v>47</v>
      </c>
    </row>
  </sheetData>
  <mergeCells count="2">
    <mergeCell ref="O2:P2"/>
    <mergeCell ref="O7:P7"/>
  </mergeCells>
  <pageMargins left="0.511811024" right="0.511811024" top="0.78740157499999996" bottom="0.78740157499999996" header="0.31496062000000002" footer="0.31496062000000002"/>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2610C-D891-4343-BCC6-4C15B1AC2944}">
  <dimension ref="B1:M23"/>
  <sheetViews>
    <sheetView workbookViewId="0">
      <selection activeCell="D32" sqref="D32"/>
    </sheetView>
  </sheetViews>
  <sheetFormatPr defaultRowHeight="15" x14ac:dyDescent="0.25"/>
  <cols>
    <col min="2" max="3" width="10.28515625" bestFit="1" customWidth="1"/>
    <col min="4" max="4" width="12.28515625" bestFit="1" customWidth="1"/>
    <col min="8" max="8" width="20.28515625" bestFit="1" customWidth="1"/>
    <col min="9" max="9" width="19.85546875" bestFit="1" customWidth="1"/>
    <col min="10" max="10" width="17" bestFit="1" customWidth="1"/>
  </cols>
  <sheetData>
    <row r="1" spans="2:13" ht="15.75" thickBot="1" x14ac:dyDescent="0.3"/>
    <row r="2" spans="2:13" ht="15.75" thickTop="1" x14ac:dyDescent="0.25">
      <c r="B2" s="110" t="s">
        <v>110</v>
      </c>
      <c r="C2" s="111"/>
      <c r="E2" s="28">
        <v>1</v>
      </c>
      <c r="F2" s="29">
        <v>2</v>
      </c>
      <c r="H2" s="36" t="s">
        <v>103</v>
      </c>
      <c r="I2" s="37" t="s">
        <v>102</v>
      </c>
      <c r="J2" s="29" t="s">
        <v>104</v>
      </c>
      <c r="L2" s="28" t="s">
        <v>118</v>
      </c>
      <c r="M2" s="29">
        <f>12+Cleber!D5</f>
        <v>13</v>
      </c>
    </row>
    <row r="3" spans="2:13" x14ac:dyDescent="0.25">
      <c r="B3" s="30" t="s">
        <v>3</v>
      </c>
      <c r="C3" s="31">
        <v>16</v>
      </c>
      <c r="E3" s="30">
        <v>7</v>
      </c>
      <c r="F3" s="31">
        <v>4</v>
      </c>
      <c r="H3" s="30">
        <v>0</v>
      </c>
      <c r="I3" s="38">
        <v>1</v>
      </c>
      <c r="J3" s="31">
        <f>ROUNDDOWN(I3/2,0)</f>
        <v>0</v>
      </c>
      <c r="L3" s="30" t="s">
        <v>119</v>
      </c>
      <c r="M3" s="31">
        <v>4</v>
      </c>
    </row>
    <row r="4" spans="2:13" ht="15.75" thickBot="1" x14ac:dyDescent="0.3">
      <c r="B4" s="32" t="s">
        <v>4</v>
      </c>
      <c r="C4" s="33">
        <v>12</v>
      </c>
      <c r="E4" s="34">
        <v>15</v>
      </c>
      <c r="F4" s="35">
        <v>6</v>
      </c>
      <c r="H4" s="39">
        <v>1000</v>
      </c>
      <c r="I4" s="40">
        <v>2</v>
      </c>
      <c r="J4" s="33">
        <f t="shared" ref="J4:J22" si="0">ROUNDDOWN(I4/2,0)</f>
        <v>1</v>
      </c>
      <c r="L4" s="34" t="s">
        <v>120</v>
      </c>
      <c r="M4" s="35">
        <v>1</v>
      </c>
    </row>
    <row r="5" spans="2:13" ht="15.75" thickTop="1" x14ac:dyDescent="0.25">
      <c r="B5" s="30" t="s">
        <v>12</v>
      </c>
      <c r="C5" s="31">
        <v>14</v>
      </c>
      <c r="H5" s="41">
        <v>3000</v>
      </c>
      <c r="I5" s="38">
        <v>3</v>
      </c>
      <c r="J5" s="31">
        <f t="shared" si="0"/>
        <v>1</v>
      </c>
    </row>
    <row r="6" spans="2:13" x14ac:dyDescent="0.25">
      <c r="B6" s="32" t="s">
        <v>5</v>
      </c>
      <c r="C6" s="33">
        <v>18</v>
      </c>
      <c r="H6" s="39">
        <v>6000</v>
      </c>
      <c r="I6" s="40">
        <v>4</v>
      </c>
      <c r="J6" s="33">
        <f t="shared" si="0"/>
        <v>2</v>
      </c>
    </row>
    <row r="7" spans="2:13" x14ac:dyDescent="0.25">
      <c r="B7" s="30" t="s">
        <v>6</v>
      </c>
      <c r="C7" s="31">
        <v>16</v>
      </c>
      <c r="H7" s="41">
        <v>10000</v>
      </c>
      <c r="I7" s="38">
        <v>5</v>
      </c>
      <c r="J7" s="31">
        <f t="shared" si="0"/>
        <v>2</v>
      </c>
    </row>
    <row r="8" spans="2:13" ht="15.75" thickBot="1" x14ac:dyDescent="0.3">
      <c r="B8" s="34" t="s">
        <v>7</v>
      </c>
      <c r="C8" s="35">
        <v>12</v>
      </c>
      <c r="H8" s="39">
        <v>15000</v>
      </c>
      <c r="I8" s="40">
        <v>6</v>
      </c>
      <c r="J8" s="33">
        <f t="shared" si="0"/>
        <v>3</v>
      </c>
    </row>
    <row r="9" spans="2:13" ht="15.75" thickTop="1" x14ac:dyDescent="0.25">
      <c r="H9" s="41">
        <v>21000</v>
      </c>
      <c r="I9" s="38">
        <v>7</v>
      </c>
      <c r="J9" s="31">
        <f t="shared" si="0"/>
        <v>3</v>
      </c>
    </row>
    <row r="10" spans="2:13" x14ac:dyDescent="0.25">
      <c r="H10" s="39">
        <v>28000</v>
      </c>
      <c r="I10" s="40">
        <v>8</v>
      </c>
      <c r="J10" s="33">
        <f t="shared" si="0"/>
        <v>4</v>
      </c>
    </row>
    <row r="11" spans="2:13" ht="15.75" thickBot="1" x14ac:dyDescent="0.3">
      <c r="H11" s="41">
        <v>36000</v>
      </c>
      <c r="I11" s="38">
        <v>9</v>
      </c>
      <c r="J11" s="31">
        <f t="shared" si="0"/>
        <v>4</v>
      </c>
    </row>
    <row r="12" spans="2:13" ht="15.75" thickTop="1" x14ac:dyDescent="0.25">
      <c r="B12" s="28" t="s">
        <v>121</v>
      </c>
      <c r="C12" s="29">
        <f>3+Cleber!D5</f>
        <v>4</v>
      </c>
      <c r="H12" s="39">
        <v>45000</v>
      </c>
      <c r="I12" s="40">
        <v>10</v>
      </c>
      <c r="J12" s="33">
        <f t="shared" si="0"/>
        <v>5</v>
      </c>
    </row>
    <row r="13" spans="2:13" x14ac:dyDescent="0.25">
      <c r="B13" s="30" t="s">
        <v>117</v>
      </c>
      <c r="C13" s="31">
        <f>SUM(M3:M4)</f>
        <v>5</v>
      </c>
      <c r="H13" s="41">
        <v>55000</v>
      </c>
      <c r="I13" s="38">
        <v>11</v>
      </c>
      <c r="J13" s="31">
        <f t="shared" si="0"/>
        <v>5</v>
      </c>
    </row>
    <row r="14" spans="2:13" ht="15.75" thickBot="1" x14ac:dyDescent="0.3">
      <c r="B14" s="34"/>
      <c r="C14" s="35"/>
      <c r="H14" s="39">
        <v>66000</v>
      </c>
      <c r="I14" s="40">
        <v>12</v>
      </c>
      <c r="J14" s="33">
        <f t="shared" si="0"/>
        <v>6</v>
      </c>
    </row>
    <row r="15" spans="2:13" ht="16.5" thickTop="1" thickBot="1" x14ac:dyDescent="0.3">
      <c r="H15" s="41">
        <v>78000</v>
      </c>
      <c r="I15" s="38">
        <v>13</v>
      </c>
      <c r="J15" s="31">
        <f t="shared" si="0"/>
        <v>6</v>
      </c>
    </row>
    <row r="16" spans="2:13" ht="15.75" thickTop="1" x14ac:dyDescent="0.25">
      <c r="B16" s="50" t="s">
        <v>81</v>
      </c>
      <c r="C16" s="51" t="s">
        <v>157</v>
      </c>
      <c r="D16" s="51" t="s">
        <v>158</v>
      </c>
      <c r="E16" s="52" t="s">
        <v>30</v>
      </c>
      <c r="H16" s="39">
        <v>91000</v>
      </c>
      <c r="I16" s="40">
        <v>14</v>
      </c>
      <c r="J16" s="33">
        <f t="shared" si="0"/>
        <v>7</v>
      </c>
    </row>
    <row r="17" spans="2:10" x14ac:dyDescent="0.25">
      <c r="B17" s="32" t="s">
        <v>3</v>
      </c>
      <c r="C17" s="53">
        <v>0</v>
      </c>
      <c r="D17" s="53"/>
      <c r="E17" s="33">
        <f>SUM(C17:D17)</f>
        <v>0</v>
      </c>
      <c r="H17" s="41">
        <v>105000</v>
      </c>
      <c r="I17" s="38">
        <v>15</v>
      </c>
      <c r="J17" s="31">
        <f t="shared" si="0"/>
        <v>7</v>
      </c>
    </row>
    <row r="18" spans="2:10" x14ac:dyDescent="0.25">
      <c r="B18" s="30" t="s">
        <v>4</v>
      </c>
      <c r="C18" s="38">
        <v>2</v>
      </c>
      <c r="D18" s="38"/>
      <c r="E18" s="31">
        <f t="shared" ref="E18:E22" si="1">SUM(C18:D18)</f>
        <v>2</v>
      </c>
      <c r="H18" s="39">
        <v>120000</v>
      </c>
      <c r="I18" s="40">
        <v>16</v>
      </c>
      <c r="J18" s="33">
        <f t="shared" si="0"/>
        <v>8</v>
      </c>
    </row>
    <row r="19" spans="2:10" x14ac:dyDescent="0.25">
      <c r="B19" s="32" t="s">
        <v>12</v>
      </c>
      <c r="C19" s="53">
        <v>-2</v>
      </c>
      <c r="D19" s="53"/>
      <c r="E19" s="33">
        <f t="shared" si="1"/>
        <v>-2</v>
      </c>
      <c r="H19" s="41">
        <v>136000</v>
      </c>
      <c r="I19" s="38">
        <v>17</v>
      </c>
      <c r="J19" s="31">
        <f t="shared" si="0"/>
        <v>8</v>
      </c>
    </row>
    <row r="20" spans="2:10" x14ac:dyDescent="0.25">
      <c r="B20" s="30" t="s">
        <v>5</v>
      </c>
      <c r="C20" s="38">
        <v>4</v>
      </c>
      <c r="D20" s="38"/>
      <c r="E20" s="31">
        <f t="shared" si="1"/>
        <v>4</v>
      </c>
      <c r="H20" s="39">
        <v>153000</v>
      </c>
      <c r="I20" s="40">
        <v>18</v>
      </c>
      <c r="J20" s="33">
        <f t="shared" si="0"/>
        <v>9</v>
      </c>
    </row>
    <row r="21" spans="2:10" x14ac:dyDescent="0.25">
      <c r="B21" s="32" t="s">
        <v>6</v>
      </c>
      <c r="C21" s="53">
        <v>0</v>
      </c>
      <c r="D21" s="53">
        <v>2</v>
      </c>
      <c r="E21" s="33">
        <f t="shared" si="1"/>
        <v>2</v>
      </c>
      <c r="H21" s="41">
        <v>171000</v>
      </c>
      <c r="I21" s="38">
        <v>19</v>
      </c>
      <c r="J21" s="31">
        <f t="shared" si="0"/>
        <v>9</v>
      </c>
    </row>
    <row r="22" spans="2:10" ht="15.75" thickBot="1" x14ac:dyDescent="0.3">
      <c r="B22" s="54" t="s">
        <v>7</v>
      </c>
      <c r="C22" s="55">
        <v>0</v>
      </c>
      <c r="D22" s="55"/>
      <c r="E22" s="56">
        <f t="shared" si="1"/>
        <v>0</v>
      </c>
      <c r="H22" s="42">
        <v>190000</v>
      </c>
      <c r="I22" s="43">
        <v>20</v>
      </c>
      <c r="J22" s="35">
        <f t="shared" si="0"/>
        <v>10</v>
      </c>
    </row>
    <row r="23" spans="2:10" ht="15.75" thickTop="1" x14ac:dyDescent="0.25"/>
  </sheetData>
  <mergeCells count="1">
    <mergeCell ref="B2:C2"/>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Cleber</vt:lpstr>
      <vt:lpstr>Poderes</vt:lpstr>
      <vt:lpstr>Testes</vt:lpstr>
      <vt:lpstr>Livro de Fórmulas</vt:lpstr>
      <vt:lpstr>Inventário</vt:lpstr>
      <vt:lpstr>Perícias</vt:lpstr>
      <vt:lpstr>Perícias (Cópia)</vt:lpstr>
      <vt:lpstr>uns dados aí</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Luciano Segundo</dc:creator>
  <cp:lastModifiedBy>Luciano Segundo</cp:lastModifiedBy>
  <dcterms:created xsi:type="dcterms:W3CDTF">2024-07-27T17:21:25Z</dcterms:created>
  <dcterms:modified xsi:type="dcterms:W3CDTF">2025-02-19T01:29:54Z</dcterms:modified>
</cp:coreProperties>
</file>