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55"/>
  </bookViews>
  <sheets>
    <sheet name="Clebina" sheetId="1" r:id="rId1"/>
    <sheet name="Poderes" sheetId="9" r:id="rId2"/>
    <sheet name="Testes" sheetId="5" state="hidden" r:id="rId3"/>
    <sheet name="Livro de Fórmulas" sheetId="6" r:id="rId4"/>
    <sheet name="Inventário" sheetId="2" r:id="rId5"/>
    <sheet name="Perícias" sheetId="3" r:id="rId6"/>
    <sheet name="Perícias (Cópia)" sheetId="8" state="hidden" r:id="rId7"/>
    <sheet name="uns dados aí" sheetId="4" r:id="rId8"/>
  </sheets>
  <calcPr calcId="144525"/>
</workbook>
</file>

<file path=xl/comments1.xml><?xml version="1.0" encoding="utf-8"?>
<comments xmlns="http://schemas.openxmlformats.org/spreadsheetml/2006/main">
  <authors>
    <author>Luciano Segundo</author>
    <author/>
  </authors>
  <commentList>
    <comment ref="D4" authorId="0">
      <text>
        <r>
          <rPr>
            <b/>
            <sz val="9"/>
            <rFont val="Segoe UI"/>
            <charset val="134"/>
          </rPr>
          <t>Luciano Segundo:</t>
        </r>
        <r>
          <rPr>
            <sz val="9"/>
            <rFont val="Segoe UI"/>
            <charset val="134"/>
          </rPr>
          <t xml:space="preserve">
Alquimista Iniciado - Você recebe um livro de
fórmulas e pode fabricar poções com fórmulas que
conheça de 1º e 2º círculos. Veja a página 327 para
as regras de poções. Pré-requisitos: Int 13, Sab 13,
treinado em Ofício (alquimia).</t>
        </r>
      </text>
    </comment>
    <comment ref="L4" authorId="1">
      <text>
        <r>
          <rPr>
            <sz val="10"/>
            <color rgb="FF000000"/>
            <rFont val="Aptos Narrow"/>
            <scheme val="minor"/>
            <charset val="0"/>
          </rPr>
          <t>Seu deslocamento é 12m (em vez de 9m).</t>
        </r>
      </text>
    </comment>
    <comment ref="D5" authorId="0">
      <text>
        <r>
          <rPr>
            <b/>
            <sz val="9"/>
            <rFont val="Segoe UI"/>
            <charset val="134"/>
          </rPr>
          <t>Luciano Segundo:</t>
        </r>
        <r>
          <rPr>
            <sz val="9"/>
            <rFont val="Segoe UI"/>
            <charset val="134"/>
          </rPr>
          <t xml:space="preserve">
Engenhoqueiro - Você pode fabricar engenhocas.
Veja as regras para isso na página 70. Pré-requisitos:
Int 17, treinado em Ofício (engenhoqueiro).</t>
        </r>
      </text>
    </comment>
    <comment ref="L5" authorId="1">
      <text>
        <r>
          <rPr>
            <sz val="10"/>
            <color rgb="FF000000"/>
            <rFont val="Aptos Narrow"/>
            <scheme val="minor"/>
            <charset val="0"/>
          </rPr>
          <t>Você
recebe visão na penumbra e +2 em
Misticismo e Percepção.</t>
        </r>
      </text>
    </comment>
    <comment ref="D6" authorId="0">
      <text>
        <r>
          <rPr>
            <b/>
            <sz val="9"/>
            <rFont val="Segoe UI"/>
            <charset val="134"/>
          </rPr>
          <t>Luciano Segundo:</t>
        </r>
        <r>
          <rPr>
            <sz val="9"/>
            <rFont val="Segoe UI"/>
            <charset val="134"/>
          </rPr>
          <t xml:space="preserve">
Síntese Rápida - Você fabrica itens alquímicos e
poções em uma categoria de tempo menor. Três meses viram um mês, um mês vira uma semana, uma
semana vira um dia e um dia vira uma hora (o tempo
mínimo). Pré-requisito: Alquimista Iniciado.</t>
        </r>
      </text>
    </comment>
    <comment ref="L6" authorId="1">
      <text>
        <r>
          <rPr>
            <sz val="10"/>
            <color rgb="FF000000"/>
            <rFont val="Aptos Narrow"/>
            <scheme val="minor"/>
            <charset val="0"/>
          </rPr>
          <t xml:space="preserve">Você recebe
+1 ponto de mana por nível.
</t>
        </r>
      </text>
    </comment>
    <comment ref="D7" authorId="0">
      <text>
        <r>
          <rPr>
            <b/>
            <sz val="9"/>
            <rFont val="Segoe UI"/>
            <charset val="134"/>
          </rPr>
          <t>Luciano Segundo:</t>
        </r>
        <r>
          <rPr>
            <sz val="9"/>
            <rFont val="Segoe UI"/>
            <charset val="134"/>
          </rPr>
          <t xml:space="preserve">
Invenção Potente - Quando usa um item fabricado por você mesmo, você pode pagar 1 PM para
aumentar em +2 a CD para resistir a ele.</t>
        </r>
      </text>
    </comment>
    <comment ref="L7" authorId="0">
      <text>
        <r>
          <rPr>
            <b/>
            <sz val="9"/>
            <rFont val="Segoe UI"/>
            <charset val="134"/>
          </rPr>
          <t>Luciano Segundo:</t>
        </r>
        <r>
          <rPr>
            <sz val="9"/>
            <rFont val="Segoe UI"/>
            <charset val="134"/>
          </rPr>
          <t xml:space="preserve">
Quando usa um veneno, você não corre risco de
se envenenar acidentalmente. Além disso, a CD para
resistir aos seus venenos aumenta em +2. Pré-requisito:
treinado em Ofício (alquimia).</t>
        </r>
      </text>
    </comment>
    <comment ref="D8" authorId="0">
      <text>
        <r>
          <rPr>
            <b/>
            <sz val="9"/>
            <rFont val="Segoe UI"/>
            <charset val="134"/>
          </rPr>
          <t>Luciano Segundo:</t>
        </r>
        <r>
          <rPr>
            <sz val="9"/>
            <rFont val="Segoe UI"/>
            <charset val="134"/>
          </rPr>
          <t xml:space="preserve">
Alquimista de Batalha. Quando usa um item
alquímico ou poção que cause dano, você soma seu
modificador de Inteligência na rolagem de dano.
Pré-requisito: Alquimista Iniciado.</t>
        </r>
      </text>
    </comment>
    <comment ref="L8" authorId="0">
      <text>
        <r>
          <rPr>
            <b/>
            <sz val="9"/>
            <rFont val="Segoe UI"/>
            <charset val="134"/>
          </rPr>
          <t>Luciano Segundo:</t>
        </r>
        <r>
          <rPr>
            <sz val="9"/>
            <rFont val="Segoe UI"/>
            <charset val="134"/>
          </rPr>
          <t xml:space="preserve">
Poder Concedido (Tanna-Toh)
Você está sempre sob efeito de Compreensão (Universal I)
------------------------------------------------------------------------
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
Você também pode gastar uma ação de
movimento para ouvir os pensamentos
de uma criatura tocada (você “ouve”
o que o alvo está pensando), mas um
alvo involuntário tem direito a um teste de Vontade para proteger seus pensamentos e evitar este efeito.</t>
        </r>
      </text>
    </comment>
    <comment ref="D9" authorId="0">
      <text>
        <r>
          <rPr>
            <b/>
            <sz val="9"/>
            <rFont val="Segoe UI"/>
            <charset val="134"/>
          </rPr>
          <t>Luciano Segundo:</t>
        </r>
        <r>
          <rPr>
            <sz val="9"/>
            <rFont val="Segoe UI"/>
            <charset val="134"/>
          </rPr>
          <t xml:space="preserve">
Aumento de Atributo. Você recebe +2 em um
atributo a sua escolha. Você pode escolher este poder
várias vezes. A partir da segunda vez que escolhê-lo
para o mesmo atributo, o aumento diminui para +1.</t>
        </r>
      </text>
    </comment>
    <comment ref="D10" authorId="0">
      <text>
        <r>
          <rPr>
            <b/>
            <sz val="9"/>
            <rFont val="Segoe UI"/>
            <charset val="134"/>
          </rPr>
          <t>Luciano Segundo:</t>
        </r>
        <r>
          <rPr>
            <sz val="9"/>
            <rFont val="Segoe UI"/>
            <charset val="134"/>
          </rPr>
          <t xml:space="preserve">
Armeiro. Você recebe proficiência com armas
marciais corpo a corpo. Quando usa uma arma corpo a corpo, pode usar seu modificador de Inteligência em
vez de Força nos testes de ataque e rolagens de dano.
Pré-requisitos: treinado em Luta e Ofício (armeiro).</t>
        </r>
      </text>
    </comment>
    <comment ref="D11" authorId="0">
      <text>
        <r>
          <rPr>
            <b/>
            <sz val="9"/>
            <rFont val="Segoe UI"/>
            <charset val="134"/>
          </rPr>
          <t>Luciano Segundo:</t>
        </r>
        <r>
          <rPr>
            <sz val="9"/>
            <rFont val="Segoe UI"/>
            <charset val="134"/>
          </rPr>
          <t xml:space="preserve">
Granadeiro. Você pode arremessar itens alquímicos e poções em alcance médio. Você pode usar
seu modificador de Inteligência em vez de Destreza
para calcular a CD do teste de resistência desses
itens. Pré-requisito: Alquimista de Batalha.</t>
        </r>
      </text>
    </comment>
    <comment ref="D12" authorId="0">
      <text>
        <r>
          <rPr>
            <b/>
            <sz val="9"/>
            <rFont val="Segoe UI"/>
            <charset val="134"/>
          </rPr>
          <t>Luciano Segundo:</t>
        </r>
        <r>
          <rPr>
            <sz val="9"/>
            <rFont val="Segoe UI"/>
            <charset val="134"/>
          </rPr>
          <t xml:space="preserve">
Mestre Alquimista. Você pode fabricar poções
com fórmulas que conheça de qualquer círculo.
Pré-requisitos: Int 17, Sab 17, Alquimista Iniciado, 10º
nível de inventor.</t>
        </r>
      </text>
    </comment>
    <comment ref="D13" authorId="0">
      <text>
        <r>
          <rPr>
            <b/>
            <sz val="9"/>
            <rFont val="Segoe UI"/>
            <charset val="134"/>
          </rPr>
          <t>Luciano Segundo:</t>
        </r>
        <r>
          <rPr>
            <sz val="9"/>
            <rFont val="Segoe UI"/>
            <charset val="134"/>
          </rPr>
          <t xml:space="preserve">
Você soma seu modificador do atributo-chave
no limite de PM que pode gastar numa magia. Por
exemplo, um mago de 5º nível com Int 18 (+4) e
este poder pode gastar até 9 PM em cada magia.</t>
        </r>
      </text>
    </comment>
  </commentList>
</comments>
</file>

<file path=xl/comments2.xml><?xml version="1.0" encoding="utf-8"?>
<comments xmlns="http://schemas.openxmlformats.org/spreadsheetml/2006/main">
  <authors>
    <author>Luciano Segundo</author>
  </authors>
  <commentList>
    <comment ref="B3" authorId="0">
      <text>
        <r>
          <rPr>
            <b/>
            <sz val="9"/>
            <rFont val="Segoe UI"/>
            <charset val="134"/>
          </rPr>
          <t>Luciano Segundo:</t>
        </r>
        <r>
          <rPr>
            <sz val="9"/>
            <rFont val="Segoe UI"/>
            <charset val="134"/>
          </rPr>
          <t xml:space="preserve">
Execução: padrão; Alcance: toque;
Alvo: 1 criatura; Duração: instantânea.
Você canaliza energia positiva que recupera 2d8+2 pontos de vida na criatura tocada. Como mortos-vivos usam
energia negativa, esta magia causa dano
de luz a eles (Vontade reduz à metade).
Curar Ferimentos anula Infligir Ferimentos.
Truque: em vez do normal, estabiliza
uma criatura.
Truque: muda o alvo para 1 morto-vivo. Em vez do normal, causa 1d8
pontos de dano de luz (Vontade reduz
à metade).
+1 PM: aumenta a cura em +1d8+1.
+2 PM: também remove uma condição de fadiga do alvo.
+2 PM: muda o alcance para curto.
+5 PM: muda o alcance para curto e o alvo para criaturas escolhidas.</t>
        </r>
      </text>
    </comment>
    <comment ref="B4" authorId="0">
      <text>
        <r>
          <rPr>
            <b/>
            <sz val="9"/>
            <rFont val="Segoe UI"/>
            <charset val="134"/>
          </rPr>
          <t>Luciano Segundo:</t>
        </r>
        <r>
          <rPr>
            <sz val="9"/>
            <rFont val="Segoe UI"/>
            <charset val="134"/>
          </rPr>
          <t xml:space="preserve">
Execução: padrão; Alcance: longo;
Área: esfera com 9m de raio; Duração: 1 dia.
Esta magia enche a área com energia
positiva. Efeitos de luz que curam pontos de vida ou canalizam energia positiva têm seus efeitos maximizados.
Por exemplo, Curar Ferimentos cura automaticamente 18 PV em alvos dentro
da área. Esta magia não pode ser lançada em uma área contendo um símbolo
visível dedicado a uma divindade que
não a sua. Consagrar anula Profanar.
+1 PM: além do normal, mortos-vivos
na área sofrem –2 em testes e Defesa.
+2 PM: aumenta as penalidades para
mortos-vivos em –1.
+9 PM: muda a execução para 1 hora,
a duração para permanente e adiciona
componente material (incenso e óleos
no valor de T$ 1.000). Requer 4º círculo.</t>
        </r>
      </text>
    </comment>
    <comment ref="B5" authorId="0">
      <text>
        <r>
          <rPr>
            <b/>
            <sz val="9"/>
            <rFont val="Segoe UI"/>
            <charset val="134"/>
          </rPr>
          <t>Luciano Segundo:</t>
        </r>
        <r>
          <rPr>
            <sz val="9"/>
            <rFont val="Segoe UI"/>
            <charset val="134"/>
          </rPr>
          <t xml:space="preserve">
Execução: padrão; Alcance: pessoal;
Alvo: você; Duração: cena.
Três cópias ilusórias suas aparecem.
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
+2 PM: aumenta o número de cópias
em +1 (e o bônus na Defesa em +2).
+2 PM: além do normal, toda vez que
uma cópia é destruída, emite um clarão de luz. A criatura que destruiu a
cópia fica ofuscada por uma rodada.
Requer 2º círculo.</t>
        </r>
      </text>
    </comment>
    <comment ref="B6" authorId="0">
      <text>
        <r>
          <rPr>
            <b/>
            <sz val="9"/>
            <rFont val="Segoe UI"/>
            <charset val="134"/>
          </rPr>
          <t>Luciano Segundo:</t>
        </r>
        <r>
          <rPr>
            <sz val="9"/>
            <rFont val="Segoe UI"/>
            <charset val="134"/>
          </rPr>
          <t xml:space="preserve">
Execução: padrão; Alcance: curto; Alvo:
1 criatura de ND 2 ou menor; Duração:
cena; Resistência: Vontade parcial.
Um sono místico recai sobre o alvo. Se
passar na resistência, fica fatigado por
uma rodada. Se falhar, fica inconsciente e caído.
+2 PM: muda o alvo para área de quadrado com 3m de lado. Todas as criaturas na área dentro do limite de ND
são afetadas.
+2 PM: afeta alvos de ND 5 ou menor.
Requer 2º círculo.
+5 PM: afeta alvos de ND 10 ou menor.
Requer 3º círculo.
+5 PM: muda o alvo para criaturas escolhidas. Todas as criaturas no alcance
dentro do limite de ND são afetadas.
+9 PM: afeta alvos de ND 15 ou menor.
Requer 4º círculo.
+14 PM: afeta alvos de qualquer ND.
Requer 5º círculo.</t>
        </r>
      </text>
    </comment>
    <comment ref="B7" authorId="0">
      <text>
        <r>
          <rPr>
            <b/>
            <sz val="9"/>
            <rFont val="Segoe UI"/>
            <charset val="134"/>
          </rPr>
          <t>Luciano Segundo:</t>
        </r>
        <r>
          <rPr>
            <sz val="9"/>
            <rFont val="Segoe UI"/>
            <charset val="134"/>
          </rPr>
          <t xml:space="preserve">
Execução: padrão; Alcance: curto;
Área: cubo com 6m de lado; Duração: cena; Resistência: Reflexos anula.
Teia cria várias camadas de fibras entrelaçadas e pegajosas na área. Qualquer
criatura na área que falhar na resistência fica enredada. Uma vítima pode se libertar com uma ação padrão e um
teste de Acrobacia ou Atletismo. A
área ocupada por Teia é terreno difícil.
A Teia é inflamável. Qualquer ataque
que cause dano de fogo destrói as teias
por onde passar, libertando as criaturas
enredadas mas deixando-as em chamas
(veja Condições, no Apêndice).
+1 PM: além do normal, criaturas que
falhem na resistência também ficam
imóveis.
+2 PM: além do normal, no início de
seus turnos a magia afeta novamente qualquer criatura na área, exigindo
um novo teste de Reflexos. Requer 2º
círculo.
+2 PM: aumenta a área em +1 cubo
de 1,5m.</t>
        </r>
      </text>
    </comment>
    <comment ref="B8" authorId="0">
      <text>
        <r>
          <rPr>
            <b/>
            <sz val="9"/>
            <rFont val="Segoe UI"/>
            <charset val="134"/>
          </rPr>
          <t>Luciano Segundo:</t>
        </r>
        <r>
          <rPr>
            <sz val="9"/>
            <rFont val="Segoe UI"/>
            <charset val="134"/>
          </rPr>
          <t xml:space="preserve">
Execução: padrão; Alcance: toque;
Alvo: matéria-prima, como madeira,
rochas, ossos; Duração: cena.
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
Truque: 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
+2 PM: aumenta o limite de tamanho
do objeto em uma categoria.
+1 PM: aumenta o preço máximo do
objeto criado em + T$ 25.
+1 PM: muda o alcance para toque, o
alvo para 1 construto e a duração para
instantânea. Em vez do normal, cura
2d8 PV do alvo. Você pode gastar 2 PM
adicionais para aumentar a cura em
+1d8.
+5 PM: 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
+9 PM: como o aprimoramento anterior, mas passa a afetar itens mágicos.</t>
        </r>
      </text>
    </comment>
    <comment ref="B9" authorId="0">
      <text>
        <r>
          <rPr>
            <b/>
            <sz val="9"/>
            <rFont val="Segoe UI"/>
            <charset val="134"/>
          </rPr>
          <t>Luciano Segundo:</t>
        </r>
        <r>
          <rPr>
            <sz val="9"/>
            <rFont val="Segoe UI"/>
            <charset val="134"/>
          </rPr>
          <t xml:space="preserve">
Execução: padrão; Alcance: toque;
Alvo: 1 criatura; Duração: instantânea; Resistência: Fortitude reduz à
metade.
Arcos elétricos envolvem sua mão,
causando 2d8+2 pontos de dano de
eletricidade. Se o alvo usa armadura de
metal (ou carrega muito metal, a critério do mestre), sofre uma penalidade
de –5 no teste de resistência.
+1 PM: aumenta o dano em 1d8+1.
+2 PM: como parte da execução da
magia, você faz um ataque corpo a corpo contra o alvo. Se acertar, causa o
dano do ataque e da magia.
+2 PM: muda o alcance para pessoal
e o alvo para área: explosão com 6m
de raio. Você dispara raios pelas pontas dos dedos que afetam todas as criaturas na área.</t>
        </r>
      </text>
    </comment>
    <comment ref="B10" authorId="0">
      <text>
        <r>
          <rPr>
            <b/>
            <sz val="9"/>
            <rFont val="Segoe UI"/>
            <charset val="134"/>
          </rPr>
          <t>Luciano Segundo:</t>
        </r>
        <r>
          <rPr>
            <sz val="9"/>
            <rFont val="Segoe UI"/>
            <charset val="134"/>
          </rPr>
          <t xml:space="preserve">
Execução: padrão; Alcance: curto;
Alvo: 1 animal ou humanoide; Duração: cena; Resistência: Vontade parcial.
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
+1 PM: muda o alvo para 1 criatura.
+1 PM: aumenta o número de alvos
em +1.
+2 PM: aumenta a penalidade em –1.
+5 PM: muda o alcance para médio e o
alvo para criaturas escolhidas. Requer
3º círculo.</t>
        </r>
      </text>
    </comment>
    <comment ref="B11" authorId="0">
      <text>
        <r>
          <rPr>
            <b/>
            <sz val="9"/>
            <rFont val="Segoe UI"/>
            <charset val="134"/>
          </rPr>
          <t>Luciano Segundo:</t>
        </r>
        <r>
          <rPr>
            <sz val="9"/>
            <rFont val="Segoe UI"/>
            <charset val="134"/>
          </rPr>
          <t xml:space="preserve">
Execução: padrão; Alcance: médio;
Alvo: 1 criatura; Duração: instantânea; Resistência: Fortitude reduz à
metade.
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
+1 PM: aumenta o dano em +1d8+1.
+2 PM: aumenta o número de alvos
em +1.</t>
        </r>
      </text>
    </comment>
    <comment ref="B12" authorId="0">
      <text>
        <r>
          <rPr>
            <b/>
            <sz val="9"/>
            <rFont val="Segoe UI"/>
            <charset val="134"/>
          </rPr>
          <t>Luciano Segundo:</t>
        </r>
        <r>
          <rPr>
            <sz val="9"/>
            <rFont val="Segoe UI"/>
            <charset val="134"/>
          </rPr>
          <t xml:space="preserve">
Execução: livre; Alcance: pessoal;
Alvo: você; Duração: 1 rodada.
Você amplia sua percepção, antecipando movimentos dos inimigos e achando brechas em sua defesa. Quando faz
um ataque, você rola dois dados e usa
o melhor resultado.
+2 PM: muda a execução para padrão e
a duração para cena. Requer 2º círculo.
+5 PM: além do normal, ao atacar
você, um inimigo deve rolar dois dados e usar o pior resultado. Requer 3º
círculo.
+9 PM: muda a execução para padrão, o alcance para curto, o alvo para
criaturas escolhidas e a duração para
cena. Requer 4º círculo.
+14 PM: muda a execução para padrão e a duração para 1 dia. Além do
normal, você recebe um sexto sentido que o avisa de qualquer perigo ou
ameaça. Você fica imune às condições
surpreendido e desprevenido e recebe
+10 em Defesa e Reflexos. Requer 5º
círculo.</t>
        </r>
      </text>
    </comment>
    <comment ref="B13" authorId="0">
      <text>
        <r>
          <rPr>
            <b/>
            <sz val="9"/>
            <rFont val="Segoe UI"/>
            <charset val="134"/>
          </rPr>
          <t>Luciano Segundo:</t>
        </r>
        <r>
          <rPr>
            <sz val="9"/>
            <rFont val="Segoe UI"/>
            <charset val="134"/>
          </rPr>
          <t xml:space="preserve">
Execução: padrão; Alcance: médio;
Alvo: 1 objeto de madeira Grande ou
menor; Duração: cena.
Você molda, retorce, altera ou repele madeira. Ao lançar a magia, escolha.
Fortalecer: deixa o alvo mais resistente.
Armas têm seu dano aumentado em
um passo. Escudos têm seu bônus de
Defesa aumentado em +2. Além disso, esses e outros itens de madeira recebem +5 na RD e dobram seus PV.
Modelar: muda a forma do alvo. Pode
transformar um galho em espada,
criar uma porta onde antes havia apenas uma parede, transformar um tronco em uma caixa... Mas não pode criar
mecanismos complexos (como uma
besta) ou itens consumíveis.
Repelir: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do mestre.
Retorcer: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+1 PM: 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
+3 PM: muda o alvo para área de quadrado com 9m de lado e a duração para
cena. Em vez do normal, qualquer
vegetação na área fica rígida e afiada. A área é considerada terreno difícil e criaturas que andem nela sofrem
1d6 pontos de dano de corte para cada
1,5m que avancem.
+7 PM: muda o alvo para objeto de
madeira Enorme ou menor. Requer 3º
círculo.
+12 PM: muda o alvo para objeto de
madeira Colossal ou menor. Requer 4º
círculo.</t>
        </r>
      </text>
    </comment>
    <comment ref="B14" authorId="0">
      <text>
        <r>
          <rPr>
            <b/>
            <sz val="9"/>
            <rFont val="Segoe UI"/>
            <charset val="134"/>
          </rPr>
          <t>Luciano Segundo:</t>
        </r>
        <r>
          <rPr>
            <sz val="9"/>
            <rFont val="Segoe UI"/>
            <charset val="134"/>
          </rPr>
          <t xml:space="preserve">
Execução: completa; Alcance: médio;
Efeito: 1 enxame Médio (quadrado de
1,5m); Duração: sustentada. Resistência: Fortitude reduz à metade.
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
+2 PM: aumenta o dano em +1d12.
+3 PM: muda a resistência para Reflexos reduz à metade e o enxame para
criaturas maiores, como gatos, guaxinins, compsognatos ou kobolds. Ele
causa 3d12 pontos de dano (a sua escolha entre corte, impacto ou perfuração). O resto da magia segue normal.
+5 PM: aumenta o número de enxames em +1. Eles não podem ocupar o
mesmo espaço. Requer 3º círculo.
+7 PM: muda a resistência para Reflexos reduz à metade e o enxame para
criaturas elementais. Ele causa 5d12
pontos do dano (a sua escolha entre
ácido, eletricidade, fogo ou frio). O
resto da magia segue normal. Requer
4º círculo.</t>
        </r>
      </text>
    </comment>
    <comment ref="B15" authorId="0">
      <text>
        <r>
          <rPr>
            <b/>
            <sz val="9"/>
            <rFont val="Segoe UI"/>
            <charset val="134"/>
          </rPr>
          <t>Luciano Segundo:</t>
        </r>
        <r>
          <rPr>
            <sz val="9"/>
            <rFont val="Segoe UI"/>
            <charset val="134"/>
          </rPr>
          <t xml:space="preserve">
Execução: padrão; Alcance: curto;
Alvo: 1 criatura; Duração: cena.
O alvo pode realizar uma ação padrão
ou de movimento adicional por turno.
Esta ação não pode ser usada para lançar magias e ativar engenhocas.
+7 PM: muda o alvo para criaturas escolhidas no alcance. Requer 4º círculo.
+7 PM: muda o alcance para pessoal e o alvo para você. Você acelera sua mente, além de seu corpo. A ação adicional pode ser usada para lançar magias
e ativar engenhocas. Requer 4º círculo.</t>
        </r>
      </text>
    </comment>
    <comment ref="B16" authorId="0">
      <text>
        <r>
          <rPr>
            <b/>
            <sz val="9"/>
            <rFont val="Segoe UI"/>
            <charset val="134"/>
          </rPr>
          <t>Luciano Segundo:</t>
        </r>
        <r>
          <rPr>
            <sz val="9"/>
            <rFont val="Segoe UI"/>
            <charset val="134"/>
          </rPr>
          <t xml:space="preserve">
Execução: padrão; Alcance: pessoal;
Alvo: você; Duração: sustentada.
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
+2 PM: aumenta os bônus na Defesa, testes de ataque e rolagens de dano
corpo a corpo em +1, e os PV temporários em +10.
+2 PM: 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r>
      </text>
    </comment>
  </commentList>
</comments>
</file>

<file path=xl/sharedStrings.xml><?xml version="1.0" encoding="utf-8"?>
<sst xmlns="http://schemas.openxmlformats.org/spreadsheetml/2006/main" count="556" uniqueCount="188">
  <si>
    <t>Atributos</t>
  </si>
  <si>
    <t>MOD</t>
  </si>
  <si>
    <t>Nível</t>
  </si>
  <si>
    <t>Ações</t>
  </si>
  <si>
    <t>FOR</t>
  </si>
  <si>
    <t>HP</t>
  </si>
  <si>
    <t>Turnos</t>
  </si>
  <si>
    <t>PM</t>
  </si>
  <si>
    <t>Descrição</t>
  </si>
  <si>
    <t>DES</t>
  </si>
  <si>
    <t>CON</t>
  </si>
  <si>
    <t>DEF</t>
  </si>
  <si>
    <t>INT</t>
  </si>
  <si>
    <t>Block</t>
  </si>
  <si>
    <t>SAB</t>
  </si>
  <si>
    <t>Contra-ataque</t>
  </si>
  <si>
    <t>CAR</t>
  </si>
  <si>
    <t>Procentagem</t>
  </si>
  <si>
    <t>Grana</t>
  </si>
  <si>
    <t>EXP</t>
  </si>
  <si>
    <t>Equipamento</t>
  </si>
  <si>
    <t>Armadura</t>
  </si>
  <si>
    <t>Arma</t>
  </si>
  <si>
    <t>Item</t>
  </si>
  <si>
    <t>Bônus</t>
  </si>
  <si>
    <t>Penalidade</t>
  </si>
  <si>
    <t>Dano</t>
  </si>
  <si>
    <t>Especial</t>
  </si>
  <si>
    <t>Crítico</t>
  </si>
  <si>
    <t>Armadura de Gelo Eterno</t>
  </si>
  <si>
    <t>Ataque Desarmado</t>
  </si>
  <si>
    <t>Status Anteriores</t>
  </si>
  <si>
    <t>Poderes</t>
  </si>
  <si>
    <t>Outros Poderes</t>
  </si>
  <si>
    <t>Nível 1</t>
  </si>
  <si>
    <t>Engenhosidade, protótipo</t>
  </si>
  <si>
    <t>Tipo</t>
  </si>
  <si>
    <t>Poder</t>
  </si>
  <si>
    <t>Nível 2</t>
  </si>
  <si>
    <t>Alquimista iniciado</t>
  </si>
  <si>
    <t>PI</t>
  </si>
  <si>
    <t>Raça</t>
  </si>
  <si>
    <t>Graça de Glorien</t>
  </si>
  <si>
    <t>Nível 3</t>
  </si>
  <si>
    <t>Engenhoqueiro</t>
  </si>
  <si>
    <t>Sentidos Elficos</t>
  </si>
  <si>
    <t>Nível 4</t>
  </si>
  <si>
    <t>Síntese Rápida</t>
  </si>
  <si>
    <t>Herança Férica</t>
  </si>
  <si>
    <t>Nível 5</t>
  </si>
  <si>
    <t>Invenção Potente</t>
  </si>
  <si>
    <t>Origem</t>
  </si>
  <si>
    <t>Venefício</t>
  </si>
  <si>
    <t>Nível 6</t>
  </si>
  <si>
    <t>Alquimista de Batalha</t>
  </si>
  <si>
    <t>Divindade</t>
  </si>
  <si>
    <t>Voz da Civilização</t>
  </si>
  <si>
    <t>Nível 7</t>
  </si>
  <si>
    <t>Aumento de Atributo</t>
  </si>
  <si>
    <t>Nível 8</t>
  </si>
  <si>
    <t>Armeiro</t>
  </si>
  <si>
    <t>Nível 9</t>
  </si>
  <si>
    <t>Granadeiro</t>
  </si>
  <si>
    <t>Nível 10</t>
  </si>
  <si>
    <t>Mestre Alquimista</t>
  </si>
  <si>
    <t>Nível 11</t>
  </si>
  <si>
    <t>Magia Ilimitada</t>
  </si>
  <si>
    <t>PNA</t>
  </si>
  <si>
    <t>Nível 12</t>
  </si>
  <si>
    <t>Nível 13</t>
  </si>
  <si>
    <t>Nível 14</t>
  </si>
  <si>
    <t>Nível 15</t>
  </si>
  <si>
    <t>Nível 16</t>
  </si>
  <si>
    <t>Nível 17</t>
  </si>
  <si>
    <t>Nível 18</t>
  </si>
  <si>
    <t>Nível 19</t>
  </si>
  <si>
    <t>Nível 20</t>
  </si>
  <si>
    <t>Teste</t>
  </si>
  <si>
    <t>D20</t>
  </si>
  <si>
    <t>Total</t>
  </si>
  <si>
    <t>Luta</t>
  </si>
  <si>
    <t>Magia</t>
  </si>
  <si>
    <t>Círculo</t>
  </si>
  <si>
    <t>Custo</t>
  </si>
  <si>
    <t>Custo Círculo</t>
  </si>
  <si>
    <t>Curar Ferimentos</t>
  </si>
  <si>
    <t>Divina</t>
  </si>
  <si>
    <t>Consagrar</t>
  </si>
  <si>
    <t>Imagem Espelhada</t>
  </si>
  <si>
    <t>Arcana</t>
  </si>
  <si>
    <t>Sono</t>
  </si>
  <si>
    <t>Teia</t>
  </si>
  <si>
    <t>Transmutar Objetos</t>
  </si>
  <si>
    <t>Toque Chocante</t>
  </si>
  <si>
    <t>Tranquilidade</t>
  </si>
  <si>
    <t>Crânio voador de Vladislav</t>
  </si>
  <si>
    <t>Concentração</t>
  </si>
  <si>
    <t>Controlar Madeira</t>
  </si>
  <si>
    <t>Enxame de Pesteste</t>
  </si>
  <si>
    <t>Velocidade</t>
  </si>
  <si>
    <t>Aracana</t>
  </si>
  <si>
    <t>Transformação de Guerra</t>
  </si>
  <si>
    <t>Armaduras</t>
  </si>
  <si>
    <t>Preço</t>
  </si>
  <si>
    <t>Peso</t>
  </si>
  <si>
    <r>
      <rPr>
        <b/>
        <sz val="10"/>
        <color rgb="FF231F20"/>
        <rFont val="DejaVu Sans"/>
        <charset val="134"/>
      </rPr>
      <t>Armadura</t>
    </r>
    <r>
      <rPr>
        <b/>
        <sz val="10"/>
        <color rgb="FF231F20"/>
        <rFont val="Palatino Linotype"/>
        <charset val="134"/>
      </rPr>
      <t xml:space="preserve"> </t>
    </r>
    <r>
      <rPr>
        <b/>
        <sz val="10"/>
        <color rgb="FF231F20"/>
        <rFont val="DejaVu Sans"/>
        <charset val="134"/>
      </rPr>
      <t>de</t>
    </r>
    <r>
      <rPr>
        <b/>
        <sz val="10"/>
        <color rgb="FF231F20"/>
        <rFont val="Palatino Linotype"/>
        <charset val="134"/>
      </rPr>
      <t xml:space="preserve"> </t>
    </r>
    <r>
      <rPr>
        <b/>
        <sz val="10"/>
        <color rgb="FF231F20"/>
        <rFont val="DejaVu Sans"/>
        <charset val="134"/>
      </rPr>
      <t>Gelo Eterno</t>
    </r>
  </si>
  <si>
    <t>Armas</t>
  </si>
  <si>
    <t>Modificação</t>
  </si>
  <si>
    <t>1d4</t>
  </si>
  <si>
    <t>Impacto</t>
  </si>
  <si>
    <t>x2</t>
  </si>
  <si>
    <t>Bordão</t>
  </si>
  <si>
    <t>1d6/1d6</t>
  </si>
  <si>
    <t>Equilibrada</t>
  </si>
  <si>
    <t>Itens</t>
  </si>
  <si>
    <t>Quantidade</t>
  </si>
  <si>
    <t>Peso Un.</t>
  </si>
  <si>
    <t>Preço Un.</t>
  </si>
  <si>
    <t>Kit de ofício (alquimia)</t>
  </si>
  <si>
    <t>+10 em teste de alquimia</t>
  </si>
  <si>
    <t>Poçao mana</t>
  </si>
  <si>
    <t>2d8+2</t>
  </si>
  <si>
    <r>
      <rPr>
        <b/>
        <sz val="10"/>
        <color rgb="FF231F20"/>
        <rFont val="DejaVu Sans"/>
        <charset val="134"/>
      </rPr>
      <t>poçao</t>
    </r>
    <r>
      <rPr>
        <b/>
        <sz val="10"/>
        <color rgb="FF231F20"/>
        <rFont val="Palatino Linotype"/>
        <charset val="134"/>
      </rPr>
      <t xml:space="preserve"> </t>
    </r>
    <r>
      <rPr>
        <b/>
        <sz val="10"/>
        <color rgb="FF231F20"/>
        <rFont val="DejaVu Sans"/>
        <charset val="134"/>
      </rPr>
      <t>vida</t>
    </r>
  </si>
  <si>
    <t>Curar ferimentos</t>
  </si>
  <si>
    <t>Imagem espelhada</t>
  </si>
  <si>
    <t>Capacidade</t>
  </si>
  <si>
    <t>Capacidade Máxima</t>
  </si>
  <si>
    <t>Status</t>
  </si>
  <si>
    <t>Perícia</t>
  </si>
  <si>
    <t>ATR</t>
  </si>
  <si>
    <t>1/2 Nível</t>
  </si>
  <si>
    <t>Treino</t>
  </si>
  <si>
    <t>Bônus Habilidade</t>
  </si>
  <si>
    <t>Treinada?</t>
  </si>
  <si>
    <t>Somente Treinada?</t>
  </si>
  <si>
    <t>Penalidade de Armadura?</t>
  </si>
  <si>
    <t>Bônus Treino</t>
  </si>
  <si>
    <t>Acrobacia</t>
  </si>
  <si>
    <t>Des</t>
  </si>
  <si>
    <t>não</t>
  </si>
  <si>
    <t>—</t>
  </si>
  <si>
    <t>sim</t>
  </si>
  <si>
    <t>Adestramento</t>
  </si>
  <si>
    <t>Car</t>
  </si>
  <si>
    <t>Atletismo</t>
  </si>
  <si>
    <t>For</t>
  </si>
  <si>
    <t>Atuação</t>
  </si>
  <si>
    <t>Cavalgar</t>
  </si>
  <si>
    <t>ATR Alterações</t>
  </si>
  <si>
    <t>Conhecimento</t>
  </si>
  <si>
    <t>Int</t>
  </si>
  <si>
    <t>Cura</t>
  </si>
  <si>
    <t>Sab</t>
  </si>
  <si>
    <t>Diplomacia</t>
  </si>
  <si>
    <t>Enganação</t>
  </si>
  <si>
    <t>Fortitude</t>
  </si>
  <si>
    <t>Con</t>
  </si>
  <si>
    <t>Furtividade</t>
  </si>
  <si>
    <t>Guerra</t>
  </si>
  <si>
    <t>Iniciativa</t>
  </si>
  <si>
    <t>Intimidação</t>
  </si>
  <si>
    <t>Intuição</t>
  </si>
  <si>
    <t>Investigação</t>
  </si>
  <si>
    <t>Jogatina</t>
  </si>
  <si>
    <t>Ladinagem</t>
  </si>
  <si>
    <t>Misticismo</t>
  </si>
  <si>
    <t>Nobreza</t>
  </si>
  <si>
    <t>Ofício (Alquimista)</t>
  </si>
  <si>
    <t>Ofício (Armeiro)</t>
  </si>
  <si>
    <t>Ofício (Engenhoqueiro)</t>
  </si>
  <si>
    <t>Percepção</t>
  </si>
  <si>
    <t>Pilotagem</t>
  </si>
  <si>
    <t>Pontaria</t>
  </si>
  <si>
    <t>Reflexos</t>
  </si>
  <si>
    <t>Religião</t>
  </si>
  <si>
    <t>Sobrevivência</t>
  </si>
  <si>
    <t>Vontade</t>
  </si>
  <si>
    <t>ATR Base</t>
  </si>
  <si>
    <t>Pontos de Experiência</t>
  </si>
  <si>
    <t>Nível de Personagem</t>
  </si>
  <si>
    <t>Bônus em Perícias</t>
  </si>
  <si>
    <t>PV classe</t>
  </si>
  <si>
    <t>PM classe</t>
  </si>
  <si>
    <t>PM raça</t>
  </si>
  <si>
    <t>PV P/nv</t>
  </si>
  <si>
    <t>Mana P/nv</t>
  </si>
  <si>
    <t>Bônus Raça</t>
  </si>
  <si>
    <t>Aumento ATR</t>
  </si>
</sst>
</file>

<file path=xl/styles.xml><?xml version="1.0" encoding="utf-8"?>
<styleSheet xmlns="http://schemas.openxmlformats.org/spreadsheetml/2006/main">
  <numFmts count="4">
    <numFmt numFmtId="176" formatCode="_-&quot;R$&quot;\ * #,##0.00_-;\-&quot;R$&quot;\ * #,##0.00_-;_-&quot;R$&quot;\ * &quot;-&quot;??_-;_-@_-"/>
    <numFmt numFmtId="177" formatCode="_-* #,##0_-;\-* #,##0_-;_-* &quot;-&quot;_-;_-@_-"/>
    <numFmt numFmtId="178" formatCode="_-&quot;R$&quot;\ * #,##0_-;\-&quot;R$&quot;\ * #,##0_-;_-&quot;R$&quot;\ * &quot;-&quot;_-;_-@_-"/>
    <numFmt numFmtId="179" formatCode="_-* #,##0.00_-;\-* #,##0.00_-;_-* &quot;-&quot;??_-;_-@_-"/>
  </numFmts>
  <fonts count="28">
    <font>
      <sz val="11"/>
      <color theme="1"/>
      <name val="Aptos Narrow"/>
      <charset val="134"/>
      <scheme val="minor"/>
    </font>
    <font>
      <b/>
      <sz val="10"/>
      <color rgb="FF231F20"/>
      <name val="Palatino Linotype"/>
      <charset val="134"/>
    </font>
    <font>
      <sz val="9"/>
      <color rgb="FF231F20"/>
      <name val="Palatino Linotype"/>
      <charset val="134"/>
    </font>
    <font>
      <b/>
      <sz val="7.5"/>
      <color rgb="FF231F20"/>
      <name val="Palatino Linotype"/>
      <charset val="134"/>
    </font>
    <font>
      <b/>
      <sz val="10"/>
      <color rgb="FF231F20"/>
      <name val="DejaVu Sans"/>
      <charset val="134"/>
    </font>
    <font>
      <b/>
      <sz val="9"/>
      <color rgb="FF231F20"/>
      <name val="Palatino Linotype"/>
      <charset val="134"/>
    </font>
    <font>
      <sz val="11"/>
      <color theme="0"/>
      <name val="Aptos Narrow"/>
      <charset val="0"/>
      <scheme val="minor"/>
    </font>
    <font>
      <u/>
      <sz val="11"/>
      <color rgb="FF800080"/>
      <name val="Aptos Narrow"/>
      <charset val="0"/>
      <scheme val="minor"/>
    </font>
    <font>
      <b/>
      <sz val="11"/>
      <color rgb="FFFFFFFF"/>
      <name val="Aptos Narrow"/>
      <charset val="0"/>
      <scheme val="minor"/>
    </font>
    <font>
      <sz val="11"/>
      <color theme="1"/>
      <name val="Aptos Narrow"/>
      <charset val="0"/>
      <scheme val="minor"/>
    </font>
    <font>
      <sz val="11"/>
      <color rgb="FFFF0000"/>
      <name val="Aptos Narrow"/>
      <charset val="0"/>
      <scheme val="minor"/>
    </font>
    <font>
      <b/>
      <sz val="18"/>
      <color theme="3"/>
      <name val="Aptos Narrow"/>
      <charset val="134"/>
      <scheme val="minor"/>
    </font>
    <font>
      <b/>
      <sz val="15"/>
      <color theme="3"/>
      <name val="Aptos Narrow"/>
      <charset val="134"/>
      <scheme val="minor"/>
    </font>
    <font>
      <b/>
      <sz val="11"/>
      <color theme="3"/>
      <name val="Aptos Narrow"/>
      <charset val="134"/>
      <scheme val="minor"/>
    </font>
    <font>
      <b/>
      <sz val="11"/>
      <color rgb="FFFA7D00"/>
      <name val="Aptos Narrow"/>
      <charset val="0"/>
      <scheme val="minor"/>
    </font>
    <font>
      <sz val="11"/>
      <color rgb="FF006100"/>
      <name val="Aptos Narrow"/>
      <charset val="0"/>
      <scheme val="minor"/>
    </font>
    <font>
      <sz val="11"/>
      <color rgb="FF3F3F76"/>
      <name val="Aptos Narrow"/>
      <charset val="0"/>
      <scheme val="minor"/>
    </font>
    <font>
      <b/>
      <sz val="11"/>
      <color theme="1"/>
      <name val="Aptos Narrow"/>
      <charset val="0"/>
      <scheme val="minor"/>
    </font>
    <font>
      <i/>
      <sz val="11"/>
      <color rgb="FF7F7F7F"/>
      <name val="Aptos Narrow"/>
      <charset val="0"/>
      <scheme val="minor"/>
    </font>
    <font>
      <sz val="11"/>
      <color rgb="FF9C6500"/>
      <name val="Aptos Narrow"/>
      <charset val="0"/>
      <scheme val="minor"/>
    </font>
    <font>
      <sz val="11"/>
      <color rgb="FFFA7D00"/>
      <name val="Aptos Narrow"/>
      <charset val="0"/>
      <scheme val="minor"/>
    </font>
    <font>
      <sz val="11"/>
      <color rgb="FF9C0006"/>
      <name val="Aptos Narrow"/>
      <charset val="0"/>
      <scheme val="minor"/>
    </font>
    <font>
      <b/>
      <sz val="13"/>
      <color theme="3"/>
      <name val="Aptos Narrow"/>
      <charset val="134"/>
      <scheme val="minor"/>
    </font>
    <font>
      <u/>
      <sz val="11"/>
      <color rgb="FF0000FF"/>
      <name val="Aptos Narrow"/>
      <charset val="0"/>
      <scheme val="minor"/>
    </font>
    <font>
      <b/>
      <sz val="11"/>
      <color rgb="FF3F3F3F"/>
      <name val="Aptos Narrow"/>
      <charset val="0"/>
      <scheme val="minor"/>
    </font>
    <font>
      <sz val="10"/>
      <color rgb="FF000000"/>
      <name val="Aptos Narrow"/>
      <charset val="0"/>
      <scheme val="minor"/>
    </font>
    <font>
      <sz val="9"/>
      <name val="Segoe UI"/>
      <charset val="134"/>
    </font>
    <font>
      <b/>
      <sz val="9"/>
      <name val="Segoe UI"/>
      <charset val="134"/>
    </font>
  </fonts>
  <fills count="35">
    <fill>
      <patternFill patternType="none"/>
    </fill>
    <fill>
      <patternFill patternType="gray125"/>
    </fill>
    <fill>
      <patternFill patternType="solid">
        <fgColor rgb="FFD7CFCB"/>
        <bgColor indexed="64"/>
      </patternFill>
    </fill>
    <fill>
      <patternFill patternType="solid">
        <fgColor theme="0"/>
        <bgColor indexed="64"/>
      </patternFill>
    </fill>
    <fill>
      <patternFill patternType="solid">
        <fgColor theme="7"/>
        <bgColor indexed="64"/>
      </patternFill>
    </fill>
    <fill>
      <patternFill patternType="solid">
        <fgColor rgb="FFA5A5A5"/>
        <bgColor indexed="64"/>
      </patternFill>
    </fill>
    <fill>
      <patternFill patternType="solid">
        <fgColor theme="8"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s>
  <borders count="46">
    <border>
      <left/>
      <right/>
      <top/>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n">
        <color auto="1"/>
      </top>
      <bottom style="thin">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bottom/>
      <diagonal/>
    </border>
    <border>
      <left style="thick">
        <color rgb="FF505050"/>
      </left>
      <right style="thin">
        <color rgb="FF505050"/>
      </right>
      <top style="thick">
        <color rgb="FF505050"/>
      </top>
      <bottom style="thin">
        <color rgb="FF505050"/>
      </bottom>
      <diagonal/>
    </border>
    <border>
      <left style="thin">
        <color rgb="FF505050"/>
      </left>
      <right style="thin">
        <color rgb="FF505050"/>
      </right>
      <top style="thick">
        <color rgb="FF505050"/>
      </top>
      <bottom style="thin">
        <color rgb="FF505050"/>
      </bottom>
      <diagonal/>
    </border>
    <border>
      <left style="thick">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
      <left style="thick">
        <color rgb="FF505050"/>
      </left>
      <right style="thin">
        <color rgb="FF505050"/>
      </right>
      <top style="thin">
        <color rgb="FF505050"/>
      </top>
      <bottom style="thick">
        <color rgb="FF505050"/>
      </bottom>
      <diagonal/>
    </border>
    <border>
      <left style="thin">
        <color rgb="FF505050"/>
      </left>
      <right style="thin">
        <color rgb="FF505050"/>
      </right>
      <top style="thin">
        <color rgb="FF505050"/>
      </top>
      <bottom style="thick">
        <color rgb="FF505050"/>
      </bottom>
      <diagonal/>
    </border>
    <border>
      <left style="thin">
        <color rgb="FF505050"/>
      </left>
      <right style="thick">
        <color rgb="FF505050"/>
      </right>
      <top style="thick">
        <color rgb="FF505050"/>
      </top>
      <bottom style="thin">
        <color rgb="FF505050"/>
      </bottom>
      <diagonal/>
    </border>
    <border>
      <left style="thin">
        <color rgb="FF505050"/>
      </left>
      <right style="thick">
        <color rgb="FF505050"/>
      </right>
      <top style="thin">
        <color rgb="FF505050"/>
      </top>
      <bottom style="thin">
        <color rgb="FF505050"/>
      </bottom>
      <diagonal/>
    </border>
    <border>
      <left style="thin">
        <color rgb="FF505050"/>
      </left>
      <right style="thick">
        <color rgb="FF505050"/>
      </right>
      <top style="thin">
        <color rgb="FF505050"/>
      </top>
      <bottom style="thick">
        <color rgb="FF50505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31" borderId="0" applyNumberFormat="0" applyBorder="0" applyAlignment="0" applyProtection="0">
      <alignment vertical="center"/>
    </xf>
    <xf numFmtId="0" fontId="9" fillId="33"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15" borderId="0" applyNumberFormat="0" applyBorder="0" applyAlignment="0" applyProtection="0">
      <alignment vertical="center"/>
    </xf>
    <xf numFmtId="0" fontId="9" fillId="6" borderId="0" applyNumberFormat="0" applyBorder="0" applyAlignment="0" applyProtection="0">
      <alignment vertical="center"/>
    </xf>
    <xf numFmtId="0" fontId="6" fillId="28" borderId="0" applyNumberFormat="0" applyBorder="0" applyAlignment="0" applyProtection="0">
      <alignment vertical="center"/>
    </xf>
    <xf numFmtId="0" fontId="6" fillId="34" borderId="0" applyNumberFormat="0" applyBorder="0" applyAlignment="0" applyProtection="0">
      <alignment vertical="center"/>
    </xf>
    <xf numFmtId="0" fontId="9" fillId="21" borderId="0" applyNumberFormat="0" applyBorder="0" applyAlignment="0" applyProtection="0">
      <alignment vertical="center"/>
    </xf>
    <xf numFmtId="0" fontId="6" fillId="4" borderId="0" applyNumberFormat="0" applyBorder="0" applyAlignment="0" applyProtection="0">
      <alignment vertical="center"/>
    </xf>
    <xf numFmtId="0" fontId="20" fillId="0" borderId="43" applyNumberFormat="0" applyFill="0" applyAlignment="0" applyProtection="0">
      <alignment vertical="center"/>
    </xf>
    <xf numFmtId="0" fontId="9" fillId="24" borderId="0" applyNumberFormat="0" applyBorder="0" applyAlignment="0" applyProtection="0">
      <alignment vertical="center"/>
    </xf>
    <xf numFmtId="0" fontId="6" fillId="22" borderId="0" applyNumberFormat="0" applyBorder="0" applyAlignment="0" applyProtection="0">
      <alignment vertical="center"/>
    </xf>
    <xf numFmtId="0" fontId="6" fillId="20"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6" fillId="32" borderId="0" applyNumberFormat="0" applyBorder="0" applyAlignment="0" applyProtection="0">
      <alignment vertical="center"/>
    </xf>
    <xf numFmtId="0" fontId="9" fillId="17" borderId="0" applyNumberFormat="0" applyBorder="0" applyAlignment="0" applyProtection="0">
      <alignment vertical="center"/>
    </xf>
    <xf numFmtId="0" fontId="9" fillId="30" borderId="0" applyNumberFormat="0" applyBorder="0" applyAlignment="0" applyProtection="0">
      <alignment vertical="center"/>
    </xf>
    <xf numFmtId="0" fontId="6" fillId="13" borderId="0" applyNumberFormat="0" applyBorder="0" applyAlignment="0" applyProtection="0">
      <alignment vertical="center"/>
    </xf>
    <xf numFmtId="0" fontId="19" fillId="14" borderId="0" applyNumberFormat="0" applyBorder="0" applyAlignment="0" applyProtection="0">
      <alignment vertical="center"/>
    </xf>
    <xf numFmtId="0" fontId="6" fillId="11" borderId="0" applyNumberFormat="0" applyBorder="0" applyAlignment="0" applyProtection="0">
      <alignment vertical="center"/>
    </xf>
    <xf numFmtId="0" fontId="21" fillId="29" borderId="0" applyNumberFormat="0" applyBorder="0" applyAlignment="0" applyProtection="0">
      <alignment vertical="center"/>
    </xf>
    <xf numFmtId="0" fontId="9" fillId="10" borderId="0" applyNumberFormat="0" applyBorder="0" applyAlignment="0" applyProtection="0">
      <alignment vertical="center"/>
    </xf>
    <xf numFmtId="0" fontId="17" fillId="0" borderId="42" applyNumberFormat="0" applyFill="0" applyAlignment="0" applyProtection="0">
      <alignment vertical="center"/>
    </xf>
    <xf numFmtId="0" fontId="24" fillId="7" borderId="45" applyNumberFormat="0" applyAlignment="0" applyProtection="0">
      <alignment vertical="center"/>
    </xf>
    <xf numFmtId="176" fontId="0" fillId="0" borderId="0" applyFont="0" applyFill="0" applyBorder="0" applyAlignment="0" applyProtection="0">
      <alignment vertical="center"/>
    </xf>
    <xf numFmtId="0" fontId="9" fillId="23" borderId="0" applyNumberFormat="0" applyBorder="0" applyAlignment="0" applyProtection="0">
      <alignment vertical="center"/>
    </xf>
    <xf numFmtId="0" fontId="0" fillId="25" borderId="44" applyNumberFormat="0" applyFont="0" applyAlignment="0" applyProtection="0">
      <alignment vertical="center"/>
    </xf>
    <xf numFmtId="0" fontId="16" fillId="9" borderId="41" applyNumberFormat="0" applyAlignment="0" applyProtection="0">
      <alignment vertical="center"/>
    </xf>
    <xf numFmtId="0" fontId="13" fillId="0" borderId="0" applyNumberFormat="0" applyFill="0" applyBorder="0" applyAlignment="0" applyProtection="0">
      <alignment vertical="center"/>
    </xf>
    <xf numFmtId="0" fontId="14" fillId="7" borderId="41" applyNumberFormat="0" applyAlignment="0" applyProtection="0">
      <alignment vertical="center"/>
    </xf>
    <xf numFmtId="0" fontId="15" fillId="8" borderId="0" applyNumberFormat="0" applyBorder="0" applyAlignment="0" applyProtection="0">
      <alignment vertical="center"/>
    </xf>
    <xf numFmtId="0" fontId="13" fillId="0" borderId="40" applyNumberFormat="0" applyFill="0" applyAlignment="0" applyProtection="0">
      <alignment vertical="center"/>
    </xf>
    <xf numFmtId="0" fontId="18" fillId="0" borderId="0" applyNumberFormat="0" applyFill="0" applyBorder="0" applyAlignment="0" applyProtection="0">
      <alignment vertical="center"/>
    </xf>
    <xf numFmtId="0" fontId="12" fillId="0" borderId="39" applyNumberFormat="0" applyFill="0" applyAlignment="0" applyProtection="0">
      <alignment vertical="center"/>
    </xf>
    <xf numFmtId="177" fontId="0" fillId="0" borderId="0" applyFont="0" applyFill="0" applyBorder="0" applyAlignment="0" applyProtection="0">
      <alignment vertical="center"/>
    </xf>
    <xf numFmtId="0" fontId="9" fillId="18" borderId="0" applyNumberFormat="0" applyBorder="0" applyAlignment="0" applyProtection="0">
      <alignment vertical="center"/>
    </xf>
    <xf numFmtId="0" fontId="11" fillId="0" borderId="0" applyNumberFormat="0" applyFill="0" applyBorder="0" applyAlignment="0" applyProtection="0">
      <alignment vertical="center"/>
    </xf>
    <xf numFmtId="178"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2" fillId="0" borderId="39" applyNumberFormat="0" applyFill="0" applyAlignment="0" applyProtection="0">
      <alignment vertical="center"/>
    </xf>
    <xf numFmtId="179" fontId="0" fillId="0" borderId="0" applyFont="0" applyFill="0" applyBorder="0" applyAlignment="0" applyProtection="0">
      <alignment vertical="center"/>
    </xf>
    <xf numFmtId="0" fontId="8" fillId="5" borderId="38" applyNumberFormat="0" applyAlignment="0" applyProtection="0">
      <alignment vertical="center"/>
    </xf>
    <xf numFmtId="0" fontId="6" fillId="12" borderId="0" applyNumberFormat="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93">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1" fillId="2" borderId="8" xfId="0" applyFont="1" applyFill="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1" fillId="2" borderId="1" xfId="0" applyFont="1" applyFill="1" applyBorder="1" applyAlignment="1">
      <alignment horizontal="left" vertical="center"/>
    </xf>
    <xf numFmtId="3" fontId="2" fillId="2" borderId="3" xfId="0" applyNumberFormat="1" applyFont="1" applyFill="1" applyBorder="1" applyAlignment="1">
      <alignment horizontal="center" vertical="center"/>
    </xf>
    <xf numFmtId="3" fontId="2" fillId="0" borderId="3" xfId="0" applyNumberFormat="1"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3" fontId="2" fillId="2" borderId="5" xfId="0" applyNumberFormat="1" applyFont="1" applyFill="1" applyBorder="1" applyAlignment="1">
      <alignment horizontal="center" vertical="center"/>
    </xf>
    <xf numFmtId="0" fontId="1" fillId="2" borderId="7" xfId="0" applyFont="1" applyFill="1" applyBorder="1" applyAlignment="1">
      <alignment horizontal="left"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7"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0" fillId="0" borderId="28" xfId="0" applyBorder="1"/>
    <xf numFmtId="0" fontId="1" fillId="2" borderId="29" xfId="0" applyFont="1" applyFill="1" applyBorder="1" applyAlignment="1">
      <alignment vertical="center"/>
    </xf>
    <xf numFmtId="0" fontId="1" fillId="2" borderId="30" xfId="0" applyFont="1" applyFill="1" applyBorder="1" applyAlignment="1">
      <alignment vertical="center"/>
    </xf>
    <xf numFmtId="0" fontId="2" fillId="3" borderId="31" xfId="0" applyFont="1" applyFill="1" applyBorder="1" applyAlignment="1">
      <alignment vertical="center" wrapText="1"/>
    </xf>
    <xf numFmtId="0" fontId="2" fillId="3" borderId="32" xfId="0" applyFont="1" applyFill="1" applyBorder="1" applyAlignment="1">
      <alignment vertical="center" wrapText="1"/>
    </xf>
    <xf numFmtId="0" fontId="1" fillId="2" borderId="31" xfId="0" applyFont="1" applyFill="1" applyBorder="1" applyAlignment="1">
      <alignment vertical="center"/>
    </xf>
    <xf numFmtId="0" fontId="1" fillId="2" borderId="32" xfId="0" applyFont="1" applyFill="1" applyBorder="1" applyAlignment="1">
      <alignment vertical="center"/>
    </xf>
    <xf numFmtId="0" fontId="2" fillId="3" borderId="32" xfId="0" applyFont="1" applyFill="1" applyBorder="1" applyAlignment="1">
      <alignment vertical="center"/>
    </xf>
    <xf numFmtId="0" fontId="2" fillId="3" borderId="33" xfId="0" applyFont="1" applyFill="1" applyBorder="1" applyAlignment="1">
      <alignment vertical="center" wrapText="1"/>
    </xf>
    <xf numFmtId="0" fontId="2" fillId="3" borderId="34" xfId="0" applyFont="1" applyFill="1" applyBorder="1" applyAlignment="1">
      <alignment vertical="center" wrapText="1"/>
    </xf>
    <xf numFmtId="0" fontId="1" fillId="2" borderId="35" xfId="0" applyFont="1" applyFill="1" applyBorder="1" applyAlignment="1">
      <alignment vertical="center"/>
    </xf>
    <xf numFmtId="0" fontId="2" fillId="3" borderId="36" xfId="0" applyFont="1" applyFill="1" applyBorder="1" applyAlignment="1">
      <alignment vertical="center" wrapText="1"/>
    </xf>
    <xf numFmtId="0" fontId="1" fillId="2" borderId="36" xfId="0" applyFont="1" applyFill="1" applyBorder="1" applyAlignment="1">
      <alignment vertical="center"/>
    </xf>
    <xf numFmtId="0" fontId="2" fillId="3" borderId="37" xfId="0" applyFont="1" applyFill="1" applyBorder="1" applyAlignment="1">
      <alignment vertical="center" wrapText="1"/>
    </xf>
    <xf numFmtId="0" fontId="0" fillId="0" borderId="0" xfId="0" applyAlignment="1">
      <alignment horizontal="center" vertical="center"/>
    </xf>
    <xf numFmtId="0" fontId="2" fillId="3" borderId="20" xfId="0" applyFont="1" applyFill="1" applyBorder="1" applyAlignment="1">
      <alignment horizontal="center" vertical="center" wrapText="1"/>
    </xf>
    <xf numFmtId="0" fontId="1" fillId="2" borderId="20" xfId="0" applyFont="1" applyFill="1" applyBorder="1" applyAlignment="1">
      <alignment horizontal="center" vertical="center" wrapText="1"/>
    </xf>
    <xf numFmtId="10" fontId="1" fillId="2" borderId="8" xfId="0" applyNumberFormat="1"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0" fontId="1" fillId="2" borderId="8" xfId="0" applyFont="1" applyFill="1" applyBorder="1" applyAlignment="1" quotePrefix="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8">
    <dxf>
      <font>
        <name val="Palatino Linotype"/>
        <scheme val="none"/>
        <family val="1"/>
        <b val="0"/>
        <i val="0"/>
        <strike val="0"/>
        <u val="none"/>
        <sz val="9"/>
        <color rgb="FF231F20"/>
      </font>
      <fill>
        <patternFill patternType="solid">
          <bgColor theme="0"/>
        </patternFill>
      </fill>
      <alignment horizontal="center" vertical="center" wrapText="1"/>
      <border>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numFmt numFmtId="0" formatCode="General"/>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Palatino Linotype"/>
        <scheme val="none"/>
        <family val="1"/>
        <b val="0"/>
        <i val="0"/>
        <strike val="0"/>
        <u val="none"/>
        <sz val="9"/>
        <color rgb="FF231F20"/>
      </font>
      <fill>
        <patternFill patternType="solid">
          <bgColor theme="0"/>
        </patternFill>
      </fill>
      <alignment horizontal="center" vertical="center" wrapText="1"/>
      <border>
        <left style="thin">
          <color auto="1"/>
        </left>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2" name="Tabela2" displayName="Tabela2" ref="B2:E35" totalsRowShown="0">
  <autoFilter ref="B2:E35"/>
  <tableColumns count="4">
    <tableColumn id="1" name="Magia" dataDxfId="0"/>
    <tableColumn id="4" name="Tipo" dataDxfId="1"/>
    <tableColumn id="2" name="Círculo" dataDxfId="2"/>
    <tableColumn id="3" name="Custo" dataDxfId="3"/>
  </tableColumns>
  <tableStyleInfo name="TableStyleLight9" showFirstColumn="0" showLastColumn="0" showRowStripes="1" showColumnStripes="0"/>
</table>
</file>

<file path=xl/tables/table2.xml><?xml version="1.0" encoding="utf-8"?>
<table xmlns="http://schemas.openxmlformats.org/spreadsheetml/2006/main" id="1" name="Tabela1" displayName="Tabela1" ref="B2:M33" totalsRowShown="0">
  <autoFilter ref="B2:M33"/>
  <sortState ref="B2:M33">
    <sortCondition ref="B2:B33"/>
  </sortState>
  <tableColumns count="12">
    <tableColumn id="1" name="Perícia" dataDxfId="4"/>
    <tableColumn id="11" name="ATR" dataDxfId="5"/>
    <tableColumn id="2" name="MOD" dataDxfId="6"/>
    <tableColumn id="3" name="1/2 Nível" dataDxfId="7"/>
    <tableColumn id="4" name="Treino" dataDxfId="8"/>
    <tableColumn id="10" name="Raça" dataDxfId="9"/>
    <tableColumn id="5" name="Bônus" dataDxfId="10"/>
    <tableColumn id="9" name="Bônus Habilidade" dataDxfId="11"/>
    <tableColumn id="6" name="Total" dataDxfId="12"/>
    <tableColumn id="7" name="Treinada?" dataDxfId="13"/>
    <tableColumn id="12" name="Somente Treinada?" dataDxfId="14"/>
    <tableColumn id="8" name="Penalidade de Armadura?" dataDxfId="15"/>
  </tableColumns>
  <tableStyleInfo name="TableStyleLight9" showFirstColumn="0" showLastColumn="0" showRowStripes="1" showColumnStripes="0"/>
</table>
</file>

<file path=xl/tables/table3.xml><?xml version="1.0" encoding="utf-8"?>
<table xmlns="http://schemas.openxmlformats.org/spreadsheetml/2006/main" id="3" name="Tabela14" displayName="Tabela14" ref="B2:M33" totalsRowShown="0">
  <autoFilter ref="B2:M33"/>
  <sortState ref="B2:M33">
    <sortCondition ref="B2:B33"/>
  </sortState>
  <tableColumns count="12">
    <tableColumn id="1" name="Perícia" dataDxfId="16"/>
    <tableColumn id="11" name="ATR" dataDxfId="17"/>
    <tableColumn id="2" name="MOD" dataDxfId="18"/>
    <tableColumn id="3" name="1/2 Nível" dataDxfId="19"/>
    <tableColumn id="4" name="Treino" dataDxfId="20"/>
    <tableColumn id="10" name="Raça" dataDxfId="21"/>
    <tableColumn id="5" name="Bônus" dataDxfId="22"/>
    <tableColumn id="9" name="Bônus Habilidade" dataDxfId="23"/>
    <tableColumn id="6" name="Total" dataDxfId="24"/>
    <tableColumn id="7" name="Treinada?" dataDxfId="25"/>
    <tableColumn id="12" name="Somente Treinada?" dataDxfId="26"/>
    <tableColumn id="8" name="Penalidade de Armadura?" dataDxfId="27"/>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41"/>
  <sheetViews>
    <sheetView tabSelected="1" workbookViewId="0">
      <selection activeCell="E9" sqref="E9"/>
    </sheetView>
  </sheetViews>
  <sheetFormatPr defaultColWidth="9" defaultRowHeight="16.5"/>
  <cols>
    <col min="2" max="2" width="12.4266666666667" customWidth="1"/>
    <col min="3" max="3" width="6.14222222222222" customWidth="1"/>
    <col min="4" max="4" width="13.2844444444444" customWidth="1"/>
    <col min="6" max="6" width="14.5688888888889" customWidth="1"/>
    <col min="7" max="8" width="7.85333333333333" customWidth="1"/>
    <col min="9" max="9" width="6" customWidth="1"/>
    <col min="11" max="11" width="16" customWidth="1"/>
    <col min="14" max="14" width="36.4266666666667" customWidth="1"/>
  </cols>
  <sheetData>
    <row r="1" ht="17.25"/>
    <row r="2" ht="15.75" customHeight="1" spans="2:14">
      <c r="B2" s="35" t="s">
        <v>0</v>
      </c>
      <c r="C2" s="48"/>
      <c r="D2" s="36" t="s">
        <v>1</v>
      </c>
      <c r="F2" s="35" t="s">
        <v>2</v>
      </c>
      <c r="G2" s="48">
        <f>VLOOKUP(G10,'uns dados aí'!$H$2:$I$22,2,TRUE)</f>
        <v>4</v>
      </c>
      <c r="H2" s="36"/>
      <c r="K2" s="35" t="s">
        <v>3</v>
      </c>
      <c r="L2" s="48"/>
      <c r="M2" s="48"/>
      <c r="N2" s="36"/>
    </row>
    <row r="3" spans="2:14">
      <c r="B3" s="38" t="s">
        <v>4</v>
      </c>
      <c r="C3" s="27">
        <f>'uns dados aí'!C3+(VLOOKUP(B3,Perícias!$O$7:$P$13,2,FALSE))</f>
        <v>16</v>
      </c>
      <c r="D3" s="39">
        <f t="shared" ref="D3:D8" si="0">ROUNDDOWN((C3-10)/2,0)</f>
        <v>3</v>
      </c>
      <c r="F3" s="38" t="s">
        <v>5</v>
      </c>
      <c r="G3" s="27">
        <f>H3-L25-SUM(L4:L22)</f>
        <v>25</v>
      </c>
      <c r="H3" s="39">
        <f>'uns dados aí'!M2+((G2-1)*'uns dados aí'!C12)</f>
        <v>25</v>
      </c>
      <c r="K3" s="38" t="s">
        <v>6</v>
      </c>
      <c r="L3" s="27" t="s">
        <v>5</v>
      </c>
      <c r="M3" s="27" t="s">
        <v>7</v>
      </c>
      <c r="N3" s="39" t="s">
        <v>8</v>
      </c>
    </row>
    <row r="4" spans="2:14">
      <c r="B4" s="41" t="s">
        <v>9</v>
      </c>
      <c r="C4" s="29">
        <f>'uns dados aí'!C4+(VLOOKUP(B4,Perícias!$O$7:$P$13,2,FALSE))</f>
        <v>14</v>
      </c>
      <c r="D4" s="42">
        <f t="shared" si="0"/>
        <v>2</v>
      </c>
      <c r="F4" s="41" t="s">
        <v>7</v>
      </c>
      <c r="G4" s="29">
        <f>H4-L26-SUM(M4:M22)</f>
        <v>20</v>
      </c>
      <c r="H4" s="42">
        <f>'uns dados aí'!C13*G2</f>
        <v>20</v>
      </c>
      <c r="K4" s="41">
        <v>1</v>
      </c>
      <c r="L4" s="29"/>
      <c r="M4" s="29"/>
      <c r="N4" s="42"/>
    </row>
    <row r="5" spans="2:14">
      <c r="B5" s="38" t="s">
        <v>10</v>
      </c>
      <c r="C5" s="27">
        <f>'uns dados aí'!C5+(VLOOKUP(B5,Perícias!$O$7:$P$13,2,FALSE))</f>
        <v>12</v>
      </c>
      <c r="D5" s="39">
        <f t="shared" si="0"/>
        <v>1</v>
      </c>
      <c r="F5" s="38" t="s">
        <v>11</v>
      </c>
      <c r="G5" s="37">
        <f>10+D4+C16</f>
        <v>22</v>
      </c>
      <c r="H5" s="89"/>
      <c r="K5" s="38">
        <v>2</v>
      </c>
      <c r="L5" s="27"/>
      <c r="M5" s="27"/>
      <c r="N5" s="39"/>
    </row>
    <row r="6" spans="2:14">
      <c r="B6" s="41" t="s">
        <v>12</v>
      </c>
      <c r="C6" s="29">
        <f>'uns dados aí'!C6+(VLOOKUP(B6,Perícias!$O$7:$P$13,2,FALSE))</f>
        <v>22</v>
      </c>
      <c r="D6" s="42">
        <f t="shared" si="0"/>
        <v>6</v>
      </c>
      <c r="F6" s="41" t="s">
        <v>13</v>
      </c>
      <c r="G6" s="40">
        <f>G5+Perícias!J12</f>
        <v>27</v>
      </c>
      <c r="H6" s="90"/>
      <c r="K6" s="41">
        <v>3</v>
      </c>
      <c r="L6" s="29"/>
      <c r="M6" s="29"/>
      <c r="N6" s="42"/>
    </row>
    <row r="7" spans="2:14">
      <c r="B7" s="38" t="s">
        <v>14</v>
      </c>
      <c r="C7" s="27">
        <f>'uns dados aí'!C7+(VLOOKUP(B7,Perícias!$O$7:$P$13,2,FALSE))</f>
        <v>18</v>
      </c>
      <c r="D7" s="39">
        <f t="shared" si="0"/>
        <v>4</v>
      </c>
      <c r="F7" s="38" t="s">
        <v>15</v>
      </c>
      <c r="G7" s="37">
        <f>Perícias!J27+Perícias!J21</f>
        <v>17</v>
      </c>
      <c r="H7" s="89"/>
      <c r="K7" s="38">
        <v>4</v>
      </c>
      <c r="L7" s="27"/>
      <c r="M7" s="27"/>
      <c r="N7" s="39"/>
    </row>
    <row r="8" ht="17.25" spans="2:14">
      <c r="B8" s="45" t="s">
        <v>16</v>
      </c>
      <c r="C8" s="53">
        <f>'uns dados aí'!C8+(VLOOKUP(B8,Perícias!$O$7:$P$13,2,FALSE))</f>
        <v>12</v>
      </c>
      <c r="D8" s="46">
        <f t="shared" si="0"/>
        <v>1</v>
      </c>
      <c r="F8" s="41" t="s">
        <v>17</v>
      </c>
      <c r="G8" s="91">
        <v>0.5</v>
      </c>
      <c r="H8" s="92"/>
      <c r="K8" s="41">
        <v>5</v>
      </c>
      <c r="L8" s="29"/>
      <c r="M8" s="29"/>
      <c r="N8" s="42"/>
    </row>
    <row r="9" spans="6:14">
      <c r="F9" s="38" t="s">
        <v>18</v>
      </c>
      <c r="G9" s="27">
        <v>220</v>
      </c>
      <c r="H9" s="39"/>
      <c r="K9" s="38">
        <v>6</v>
      </c>
      <c r="L9" s="27"/>
      <c r="M9" s="27"/>
      <c r="N9" s="39"/>
    </row>
    <row r="10" ht="17.25" spans="6:14">
      <c r="F10" s="45" t="s">
        <v>19</v>
      </c>
      <c r="G10" s="53">
        <v>6600</v>
      </c>
      <c r="H10" s="46"/>
      <c r="K10" s="41">
        <v>7</v>
      </c>
      <c r="L10" s="29"/>
      <c r="M10" s="29"/>
      <c r="N10" s="42"/>
    </row>
    <row r="11" ht="18" spans="11:14">
      <c r="K11" s="38">
        <v>8</v>
      </c>
      <c r="L11" s="27"/>
      <c r="M11" s="27"/>
      <c r="N11" s="39"/>
    </row>
    <row r="12" ht="18" spans="2:14">
      <c r="B12" s="71" t="s">
        <v>20</v>
      </c>
      <c r="C12" s="72"/>
      <c r="D12" s="72"/>
      <c r="E12" s="72"/>
      <c r="F12" s="72"/>
      <c r="G12" s="72"/>
      <c r="H12" s="72"/>
      <c r="I12" s="73"/>
      <c r="K12" s="41">
        <v>9</v>
      </c>
      <c r="L12" s="29"/>
      <c r="M12" s="29"/>
      <c r="N12" s="42"/>
    </row>
    <row r="13" ht="18" spans="2:14">
      <c r="B13" s="88"/>
      <c r="K13" s="38">
        <v>10</v>
      </c>
      <c r="L13" s="27"/>
      <c r="M13" s="27"/>
      <c r="N13" s="39"/>
    </row>
    <row r="14" ht="17.25" spans="2:14">
      <c r="B14" s="35" t="s">
        <v>21</v>
      </c>
      <c r="C14" s="48"/>
      <c r="D14" s="36"/>
      <c r="F14" s="35" t="s">
        <v>22</v>
      </c>
      <c r="G14" s="48"/>
      <c r="H14" s="48"/>
      <c r="I14" s="36"/>
      <c r="K14" s="41">
        <v>11</v>
      </c>
      <c r="L14" s="29"/>
      <c r="M14" s="29"/>
      <c r="N14" s="42"/>
    </row>
    <row r="15" spans="2:14">
      <c r="B15" s="38" t="s">
        <v>23</v>
      </c>
      <c r="C15" s="27" t="s">
        <v>24</v>
      </c>
      <c r="D15" s="39" t="s">
        <v>25</v>
      </c>
      <c r="F15" s="38" t="s">
        <v>23</v>
      </c>
      <c r="G15" s="27" t="s">
        <v>26</v>
      </c>
      <c r="H15" s="27" t="s">
        <v>27</v>
      </c>
      <c r="I15" s="39" t="s">
        <v>28</v>
      </c>
      <c r="K15" s="38">
        <v>12</v>
      </c>
      <c r="L15" s="27"/>
      <c r="M15" s="27"/>
      <c r="N15" s="39"/>
    </row>
    <row r="16" ht="17.25" spans="2:14">
      <c r="B16" s="45" t="s">
        <v>29</v>
      </c>
      <c r="C16" s="53">
        <f>IFERROR(VLOOKUP($B$16,Inventário!$B$3:$F$5,2,FALSE),"")</f>
        <v>10</v>
      </c>
      <c r="D16" s="46">
        <f>IFERROR(VLOOKUP($B$16,Inventário!$B$3:$F$5,3,FALSE),"")</f>
        <v>2</v>
      </c>
      <c r="F16" s="45" t="s">
        <v>30</v>
      </c>
      <c r="G16" s="53" t="str">
        <f>IFERROR(VLOOKUP($F$16,Inventário!$B$8:$H$13,2,FALSE),"")</f>
        <v>1d4</v>
      </c>
      <c r="H16" s="53">
        <f>IFERROR(VLOOKUP($F$16,Inventário!$B$8:$H$13,3,FALSE),"")</f>
        <v>0</v>
      </c>
      <c r="I16" s="46">
        <f>IFERROR(VLOOKUP($F$16,Inventário!$B$8:$H$13,4,FALSE),"")</f>
        <v>0</v>
      </c>
      <c r="K16" s="41">
        <v>13</v>
      </c>
      <c r="L16" s="29"/>
      <c r="M16" s="29"/>
      <c r="N16" s="42"/>
    </row>
    <row r="17" ht="17.25" spans="11:14">
      <c r="K17" s="38">
        <v>14</v>
      </c>
      <c r="L17" s="27"/>
      <c r="M17" s="27"/>
      <c r="N17" s="39"/>
    </row>
    <row r="18" ht="15.75" customHeight="1" spans="11:14">
      <c r="K18" s="41">
        <v>15</v>
      </c>
      <c r="L18" s="29"/>
      <c r="M18" s="29"/>
      <c r="N18" s="42"/>
    </row>
    <row r="19" spans="11:14">
      <c r="K19" s="38">
        <v>16</v>
      </c>
      <c r="L19" s="27"/>
      <c r="M19" s="27"/>
      <c r="N19" s="39"/>
    </row>
    <row r="20" spans="11:14">
      <c r="K20" s="41">
        <v>17</v>
      </c>
      <c r="L20" s="29"/>
      <c r="M20" s="29"/>
      <c r="N20" s="42"/>
    </row>
    <row r="21" spans="11:14">
      <c r="K21" s="38">
        <v>18</v>
      </c>
      <c r="L21" s="27"/>
      <c r="M21" s="27"/>
      <c r="N21" s="39"/>
    </row>
    <row r="22" ht="15.75" customHeight="1" spans="11:14">
      <c r="K22" s="45">
        <v>20</v>
      </c>
      <c r="L22" s="53"/>
      <c r="M22" s="53"/>
      <c r="N22" s="46"/>
    </row>
    <row r="23" ht="18"/>
    <row r="24" ht="17.25" spans="11:12">
      <c r="K24" s="35" t="s">
        <v>31</v>
      </c>
      <c r="L24" s="36"/>
    </row>
    <row r="25" spans="11:12">
      <c r="K25" s="38" t="s">
        <v>5</v>
      </c>
      <c r="L25" s="39"/>
    </row>
    <row r="26" ht="17.25" spans="11:12">
      <c r="K26" s="45" t="s">
        <v>7</v>
      </c>
      <c r="L26" s="46"/>
    </row>
    <row r="27" ht="17.25"/>
    <row r="41" ht="15.75" customHeight="1"/>
  </sheetData>
  <mergeCells count="13">
    <mergeCell ref="B2:C2"/>
    <mergeCell ref="G2:H2"/>
    <mergeCell ref="K2:N2"/>
    <mergeCell ref="G5:H5"/>
    <mergeCell ref="G6:H6"/>
    <mergeCell ref="G7:H7"/>
    <mergeCell ref="G8:H8"/>
    <mergeCell ref="G9:H9"/>
    <mergeCell ref="G10:H10"/>
    <mergeCell ref="B12:I12"/>
    <mergeCell ref="B14:D14"/>
    <mergeCell ref="F14:I14"/>
    <mergeCell ref="K24:L24"/>
  </mergeCells>
  <dataValidations count="2">
    <dataValidation type="list" allowBlank="1" showInputMessage="1" showErrorMessage="1" sqref="F16">
      <formula1>Inventário!$B$9:$B$13</formula1>
    </dataValidation>
    <dataValidation type="list" allowBlank="1" showInputMessage="1" showErrorMessage="1" sqref="B16">
      <formula1>Inventário!$B$4:$B$5</formula1>
    </dataValidation>
  </dataValidations>
  <pageMargins left="0.511811024" right="0.511811024" top="0.787401575" bottom="0.787401575" header="0.31496062" footer="0.31496062"/>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topLeftCell="B1" workbookViewId="0">
      <selection activeCell="H11" sqref="H11"/>
    </sheetView>
  </sheetViews>
  <sheetFormatPr defaultColWidth="9" defaultRowHeight="16.5"/>
  <cols>
    <col min="12" max="12" width="19.7111111111111" customWidth="1"/>
    <col min="13" max="13" width="12.2844444444444" customWidth="1"/>
    <col min="14" max="14" width="12.1422222222222" customWidth="1"/>
  </cols>
  <sheetData>
    <row r="1" ht="18" spans="1:15">
      <c r="A1" s="71" t="s">
        <v>32</v>
      </c>
      <c r="B1" s="72"/>
      <c r="C1" s="72"/>
      <c r="D1" s="72"/>
      <c r="E1" s="72"/>
      <c r="F1" s="72"/>
      <c r="G1" s="73"/>
      <c r="I1" s="71" t="s">
        <v>33</v>
      </c>
      <c r="J1" s="72"/>
      <c r="K1" s="72"/>
      <c r="L1" s="72"/>
      <c r="M1" s="72"/>
      <c r="N1" s="72"/>
      <c r="O1" s="73"/>
    </row>
    <row r="2" ht="18"/>
    <row r="3" ht="17.25" spans="2:13">
      <c r="B3" s="35" t="s">
        <v>34</v>
      </c>
      <c r="C3" s="48"/>
      <c r="D3" s="48" t="s">
        <v>35</v>
      </c>
      <c r="E3" s="48"/>
      <c r="F3" s="36"/>
      <c r="K3" s="75" t="s">
        <v>36</v>
      </c>
      <c r="L3" s="76" t="s">
        <v>37</v>
      </c>
      <c r="M3" s="84" t="s">
        <v>24</v>
      </c>
    </row>
    <row r="4" ht="15" customHeight="1" spans="2:13">
      <c r="B4" s="38" t="s">
        <v>38</v>
      </c>
      <c r="C4" s="27"/>
      <c r="D4" s="27" t="s">
        <v>39</v>
      </c>
      <c r="E4" s="27"/>
      <c r="F4" s="39" t="s">
        <v>40</v>
      </c>
      <c r="K4" s="77" t="s">
        <v>41</v>
      </c>
      <c r="L4" s="78" t="s">
        <v>42</v>
      </c>
      <c r="M4" s="85"/>
    </row>
    <row r="5" ht="15" customHeight="1" spans="2:13">
      <c r="B5" s="41" t="s">
        <v>43</v>
      </c>
      <c r="C5" s="40"/>
      <c r="D5" s="29" t="s">
        <v>44</v>
      </c>
      <c r="E5" s="29"/>
      <c r="F5" s="42" t="s">
        <v>40</v>
      </c>
      <c r="K5" s="79" t="s">
        <v>41</v>
      </c>
      <c r="L5" s="80" t="s">
        <v>45</v>
      </c>
      <c r="M5" s="86"/>
    </row>
    <row r="6" ht="15" customHeight="1" spans="2:13">
      <c r="B6" s="38" t="s">
        <v>46</v>
      </c>
      <c r="C6" s="37"/>
      <c r="D6" s="27" t="s">
        <v>47</v>
      </c>
      <c r="E6" s="27"/>
      <c r="F6" s="39" t="s">
        <v>40</v>
      </c>
      <c r="K6" s="77" t="s">
        <v>41</v>
      </c>
      <c r="L6" s="78" t="s">
        <v>48</v>
      </c>
      <c r="M6" s="85"/>
    </row>
    <row r="7" spans="2:13">
      <c r="B7" s="41" t="s">
        <v>49</v>
      </c>
      <c r="C7" s="29"/>
      <c r="D7" s="29" t="s">
        <v>50</v>
      </c>
      <c r="E7" s="29"/>
      <c r="F7" s="42" t="s">
        <v>40</v>
      </c>
      <c r="K7" s="79" t="s">
        <v>51</v>
      </c>
      <c r="L7" s="80" t="s">
        <v>52</v>
      </c>
      <c r="M7" s="86"/>
    </row>
    <row r="8" spans="2:13">
      <c r="B8" s="38" t="s">
        <v>53</v>
      </c>
      <c r="C8" s="27"/>
      <c r="D8" s="27" t="s">
        <v>54</v>
      </c>
      <c r="E8" s="27"/>
      <c r="F8" s="39" t="s">
        <v>40</v>
      </c>
      <c r="K8" s="77" t="s">
        <v>55</v>
      </c>
      <c r="L8" s="81" t="s">
        <v>56</v>
      </c>
      <c r="M8" s="85"/>
    </row>
    <row r="9" spans="2:13">
      <c r="B9" s="41" t="s">
        <v>57</v>
      </c>
      <c r="C9" s="29"/>
      <c r="D9" s="29" t="s">
        <v>58</v>
      </c>
      <c r="E9" s="29"/>
      <c r="F9" s="42" t="s">
        <v>40</v>
      </c>
      <c r="K9" s="79"/>
      <c r="L9" s="80"/>
      <c r="M9" s="86"/>
    </row>
    <row r="10" ht="15" customHeight="1" spans="2:13">
      <c r="B10" s="38" t="s">
        <v>59</v>
      </c>
      <c r="C10" s="27"/>
      <c r="D10" s="27" t="s">
        <v>60</v>
      </c>
      <c r="E10" s="27"/>
      <c r="F10" s="39" t="s">
        <v>40</v>
      </c>
      <c r="K10" s="77"/>
      <c r="L10" s="78"/>
      <c r="M10" s="85"/>
    </row>
    <row r="11" spans="2:13">
      <c r="B11" s="41" t="s">
        <v>61</v>
      </c>
      <c r="C11" s="29"/>
      <c r="D11" s="29" t="s">
        <v>62</v>
      </c>
      <c r="E11" s="29"/>
      <c r="F11" s="42" t="s">
        <v>40</v>
      </c>
      <c r="K11" s="79"/>
      <c r="L11" s="80"/>
      <c r="M11" s="86"/>
    </row>
    <row r="12" spans="2:13">
      <c r="B12" s="38" t="s">
        <v>63</v>
      </c>
      <c r="C12" s="27"/>
      <c r="D12" s="27" t="s">
        <v>64</v>
      </c>
      <c r="E12" s="27"/>
      <c r="F12" s="39" t="s">
        <v>40</v>
      </c>
      <c r="K12" s="77"/>
      <c r="L12" s="78"/>
      <c r="M12" s="85"/>
    </row>
    <row r="13" spans="2:13">
      <c r="B13" s="41" t="s">
        <v>65</v>
      </c>
      <c r="C13" s="29"/>
      <c r="D13" s="29" t="s">
        <v>66</v>
      </c>
      <c r="E13" s="29"/>
      <c r="F13" s="42" t="s">
        <v>67</v>
      </c>
      <c r="G13" s="74"/>
      <c r="K13" s="79"/>
      <c r="L13" s="80"/>
      <c r="M13" s="86"/>
    </row>
    <row r="14" spans="2:13">
      <c r="B14" s="38" t="s">
        <v>68</v>
      </c>
      <c r="C14" s="27"/>
      <c r="D14" s="27"/>
      <c r="E14" s="27"/>
      <c r="F14" s="39"/>
      <c r="K14" s="77"/>
      <c r="L14" s="78"/>
      <c r="M14" s="85"/>
    </row>
    <row r="15" spans="2:13">
      <c r="B15" s="41" t="s">
        <v>69</v>
      </c>
      <c r="C15" s="29"/>
      <c r="D15" s="29"/>
      <c r="E15" s="29"/>
      <c r="F15" s="42"/>
      <c r="K15" s="79"/>
      <c r="L15" s="80"/>
      <c r="M15" s="86"/>
    </row>
    <row r="16" spans="2:13">
      <c r="B16" s="38" t="s">
        <v>70</v>
      </c>
      <c r="C16" s="27"/>
      <c r="D16" s="27"/>
      <c r="E16" s="27"/>
      <c r="F16" s="39"/>
      <c r="K16" s="77"/>
      <c r="L16" s="78"/>
      <c r="M16" s="85"/>
    </row>
    <row r="17" spans="2:13">
      <c r="B17" s="41" t="s">
        <v>71</v>
      </c>
      <c r="C17" s="29"/>
      <c r="D17" s="29"/>
      <c r="E17" s="29"/>
      <c r="F17" s="42"/>
      <c r="K17" s="79"/>
      <c r="L17" s="80"/>
      <c r="M17" s="86"/>
    </row>
    <row r="18" spans="2:13">
      <c r="B18" s="38" t="s">
        <v>72</v>
      </c>
      <c r="C18" s="27"/>
      <c r="D18" s="27"/>
      <c r="E18" s="27"/>
      <c r="F18" s="39"/>
      <c r="K18" s="77"/>
      <c r="L18" s="78"/>
      <c r="M18" s="85"/>
    </row>
    <row r="19" spans="2:13">
      <c r="B19" s="41" t="s">
        <v>73</v>
      </c>
      <c r="C19" s="29"/>
      <c r="D19" s="29"/>
      <c r="E19" s="29"/>
      <c r="F19" s="42"/>
      <c r="K19" s="79"/>
      <c r="L19" s="80"/>
      <c r="M19" s="86"/>
    </row>
    <row r="20" spans="2:13">
      <c r="B20" s="38" t="s">
        <v>74</v>
      </c>
      <c r="C20" s="27"/>
      <c r="D20" s="27"/>
      <c r="E20" s="27"/>
      <c r="F20" s="39"/>
      <c r="K20" s="77"/>
      <c r="L20" s="78"/>
      <c r="M20" s="85"/>
    </row>
    <row r="21" spans="2:13">
      <c r="B21" s="41" t="s">
        <v>75</v>
      </c>
      <c r="C21" s="29"/>
      <c r="D21" s="29"/>
      <c r="E21" s="29"/>
      <c r="F21" s="42"/>
      <c r="K21" s="79"/>
      <c r="L21" s="80"/>
      <c r="M21" s="86"/>
    </row>
    <row r="22" ht="17.25" spans="2:13">
      <c r="B22" s="43" t="s">
        <v>76</v>
      </c>
      <c r="C22" s="50"/>
      <c r="D22" s="50"/>
      <c r="E22" s="50"/>
      <c r="F22" s="44"/>
      <c r="K22" s="82"/>
      <c r="L22" s="83"/>
      <c r="M22" s="87"/>
    </row>
    <row r="23" ht="17.25"/>
  </sheetData>
  <mergeCells count="42">
    <mergeCell ref="A1:G1"/>
    <mergeCell ref="I1:O1"/>
    <mergeCell ref="B3:C3"/>
    <mergeCell ref="D3:E3"/>
    <mergeCell ref="B4:C4"/>
    <mergeCell ref="D4:E4"/>
    <mergeCell ref="B5:C5"/>
    <mergeCell ref="D5:E5"/>
    <mergeCell ref="B6:C6"/>
    <mergeCell ref="D6:E6"/>
    <mergeCell ref="B7:C7"/>
    <mergeCell ref="D7:E7"/>
    <mergeCell ref="B8:C8"/>
    <mergeCell ref="D8:E8"/>
    <mergeCell ref="B9:C9"/>
    <mergeCell ref="D9:E9"/>
    <mergeCell ref="B10:C10"/>
    <mergeCell ref="D10:E10"/>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s>
  <pageMargins left="0.511811024" right="0.511811024" top="0.787401575" bottom="0.787401575" header="0.31496062" footer="0.31496062"/>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2"/>
  <sheetViews>
    <sheetView workbookViewId="0">
      <selection activeCell="H13" sqref="H13"/>
    </sheetView>
  </sheetViews>
  <sheetFormatPr defaultColWidth="9" defaultRowHeight="16.5" outlineLevelCol="7"/>
  <cols>
    <col min="2" max="2" width="13.8533333333333" customWidth="1"/>
    <col min="7" max="7" width="8.42666666666667" customWidth="1"/>
  </cols>
  <sheetData>
    <row r="1" ht="17.25"/>
    <row r="2" ht="17.25" spans="2:8">
      <c r="B2" s="35" t="s">
        <v>0</v>
      </c>
      <c r="C2" s="48" t="s">
        <v>77</v>
      </c>
      <c r="D2" s="48" t="s">
        <v>78</v>
      </c>
      <c r="E2" s="36" t="s">
        <v>79</v>
      </c>
      <c r="G2" s="51" t="s">
        <v>77</v>
      </c>
      <c r="H2" s="65"/>
    </row>
    <row r="3" ht="17.25" spans="2:8">
      <c r="B3" s="38" t="str">
        <f>Tabela1[[#This Row],[Perícia]]</f>
        <v>Acrobacia</v>
      </c>
      <c r="C3" s="27">
        <f>Tabela1[[#This Row],[Total]]</f>
        <v>2</v>
      </c>
      <c r="D3" s="27">
        <f ca="1">RANDBETWEEN(1,20)</f>
        <v>7</v>
      </c>
      <c r="E3" s="39">
        <f ca="1">SUM(C3:D3)</f>
        <v>9</v>
      </c>
      <c r="G3" s="43" t="s">
        <v>80</v>
      </c>
      <c r="H3" s="44">
        <f ca="1">VLOOKUP(G3,B2:E31,4,FALSE)</f>
        <v>8</v>
      </c>
    </row>
    <row r="4" ht="17.25" spans="2:5">
      <c r="B4" s="41" t="str">
        <f>Tabela1[[#This Row],[Perícia]]</f>
        <v>Adestramento</v>
      </c>
      <c r="C4" s="29">
        <f>Tabela1[[#This Row],[Total]]</f>
        <v>3</v>
      </c>
      <c r="D4" s="29">
        <f ca="1" t="shared" ref="D4:D31" si="0">RANDBETWEEN(1,20)</f>
        <v>11</v>
      </c>
      <c r="E4" s="42">
        <f ca="1" t="shared" ref="E4:E31" si="1">SUM(C4:D4)</f>
        <v>14</v>
      </c>
    </row>
    <row r="5" spans="2:5">
      <c r="B5" s="38" t="str">
        <f>Tabela1[[#This Row],[Perícia]]</f>
        <v>Atletismo</v>
      </c>
      <c r="C5" s="27">
        <f>Tabela1[[#This Row],[Total]]</f>
        <v>5</v>
      </c>
      <c r="D5" s="27">
        <f ca="1" t="shared" si="0"/>
        <v>9</v>
      </c>
      <c r="E5" s="39">
        <f ca="1" t="shared" si="1"/>
        <v>14</v>
      </c>
    </row>
    <row r="6" spans="2:5">
      <c r="B6" s="41" t="str">
        <f>Tabela1[[#This Row],[Perícia]]</f>
        <v>Atuação</v>
      </c>
      <c r="C6" s="29">
        <f>Tabela1[[#This Row],[Total]]</f>
        <v>3</v>
      </c>
      <c r="D6" s="29">
        <f ca="1" t="shared" si="0"/>
        <v>14</v>
      </c>
      <c r="E6" s="42">
        <f ca="1" t="shared" si="1"/>
        <v>17</v>
      </c>
    </row>
    <row r="7" spans="2:5">
      <c r="B7" s="38" t="str">
        <f>Tabela1[[#This Row],[Perícia]]</f>
        <v>Cavalgar</v>
      </c>
      <c r="C7" s="27">
        <f>Tabela1[[#This Row],[Total]]</f>
        <v>4</v>
      </c>
      <c r="D7" s="27">
        <f ca="1" t="shared" si="0"/>
        <v>10</v>
      </c>
      <c r="E7" s="39">
        <f ca="1" t="shared" si="1"/>
        <v>14</v>
      </c>
    </row>
    <row r="8" spans="2:5">
      <c r="B8" s="41" t="str">
        <f>Tabela1[[#This Row],[Perícia]]</f>
        <v>Conhecimento</v>
      </c>
      <c r="C8" s="29">
        <f>Tabela1[[#This Row],[Total]]</f>
        <v>10</v>
      </c>
      <c r="D8" s="29">
        <f ca="1" t="shared" si="0"/>
        <v>15</v>
      </c>
      <c r="E8" s="42">
        <f ca="1" t="shared" si="1"/>
        <v>25</v>
      </c>
    </row>
    <row r="9" spans="2:5">
      <c r="B9" s="38" t="str">
        <f>Tabela1[[#This Row],[Perícia]]</f>
        <v>Cura</v>
      </c>
      <c r="C9" s="27">
        <f>Tabela1[[#This Row],[Total]]</f>
        <v>8</v>
      </c>
      <c r="D9" s="27">
        <f ca="1" t="shared" si="0"/>
        <v>9</v>
      </c>
      <c r="E9" s="39">
        <f ca="1" t="shared" si="1"/>
        <v>17</v>
      </c>
    </row>
    <row r="10" spans="2:5">
      <c r="B10" s="41" t="str">
        <f>Tabela1[[#This Row],[Perícia]]</f>
        <v>Diplomacia</v>
      </c>
      <c r="C10" s="29">
        <f>Tabela1[[#This Row],[Total]]</f>
        <v>3</v>
      </c>
      <c r="D10" s="29">
        <f ca="1" t="shared" si="0"/>
        <v>1</v>
      </c>
      <c r="E10" s="42">
        <f ca="1" t="shared" si="1"/>
        <v>4</v>
      </c>
    </row>
    <row r="11" spans="2:5">
      <c r="B11" s="38" t="str">
        <f>Tabela1[[#This Row],[Perícia]]</f>
        <v>Enganação</v>
      </c>
      <c r="C11" s="27">
        <f>Tabela1[[#This Row],[Total]]</f>
        <v>3</v>
      </c>
      <c r="D11" s="27">
        <f ca="1" t="shared" si="0"/>
        <v>7</v>
      </c>
      <c r="E11" s="39">
        <f ca="1" t="shared" si="1"/>
        <v>10</v>
      </c>
    </row>
    <row r="12" spans="2:5">
      <c r="B12" s="41" t="str">
        <f>Tabela1[[#This Row],[Perícia]]</f>
        <v>Fortitude</v>
      </c>
      <c r="C12" s="29">
        <f>Tabela1[[#This Row],[Total]]</f>
        <v>5</v>
      </c>
      <c r="D12" s="29">
        <f ca="1" t="shared" si="0"/>
        <v>7</v>
      </c>
      <c r="E12" s="42">
        <f ca="1" t="shared" si="1"/>
        <v>12</v>
      </c>
    </row>
    <row r="13" spans="2:5">
      <c r="B13" s="38" t="str">
        <f>Tabela1[[#This Row],[Perícia]]</f>
        <v>Furtividade</v>
      </c>
      <c r="C13" s="27">
        <f>Tabela1[[#This Row],[Total]]</f>
        <v>2</v>
      </c>
      <c r="D13" s="27">
        <f ca="1" t="shared" si="0"/>
        <v>18</v>
      </c>
      <c r="E13" s="39">
        <f ca="1" t="shared" si="1"/>
        <v>20</v>
      </c>
    </row>
    <row r="14" spans="2:5">
      <c r="B14" s="41" t="str">
        <f>Tabela1[[#This Row],[Perícia]]</f>
        <v>Guerra</v>
      </c>
      <c r="C14" s="29">
        <f>Tabela1[[#This Row],[Total]]</f>
        <v>10</v>
      </c>
      <c r="D14" s="29">
        <f ca="1" t="shared" si="0"/>
        <v>3</v>
      </c>
      <c r="E14" s="42">
        <f ca="1" t="shared" si="1"/>
        <v>13</v>
      </c>
    </row>
    <row r="15" spans="2:5">
      <c r="B15" s="38" t="str">
        <f>Tabela1[[#This Row],[Perícia]]</f>
        <v>Iniciativa</v>
      </c>
      <c r="C15" s="27">
        <f>Tabela1[[#This Row],[Total]]</f>
        <v>4</v>
      </c>
      <c r="D15" s="27">
        <f ca="1" t="shared" si="0"/>
        <v>8</v>
      </c>
      <c r="E15" s="39">
        <f ca="1" t="shared" si="1"/>
        <v>12</v>
      </c>
    </row>
    <row r="16" spans="2:5">
      <c r="B16" s="41" t="str">
        <f>Tabela1[[#This Row],[Perícia]]</f>
        <v>Intimidação</v>
      </c>
      <c r="C16" s="29">
        <f>Tabela1[[#This Row],[Total]]</f>
        <v>3</v>
      </c>
      <c r="D16" s="29">
        <f ca="1" t="shared" si="0"/>
        <v>4</v>
      </c>
      <c r="E16" s="42">
        <f ca="1" t="shared" si="1"/>
        <v>7</v>
      </c>
    </row>
    <row r="17" spans="2:5">
      <c r="B17" s="38" t="str">
        <f>Tabela1[[#This Row],[Perícia]]</f>
        <v>Intuição</v>
      </c>
      <c r="C17" s="27">
        <f>Tabela1[[#This Row],[Total]]</f>
        <v>6</v>
      </c>
      <c r="D17" s="27">
        <f ca="1" t="shared" si="0"/>
        <v>8</v>
      </c>
      <c r="E17" s="39">
        <f ca="1" t="shared" si="1"/>
        <v>14</v>
      </c>
    </row>
    <row r="18" spans="2:5">
      <c r="B18" s="41" t="str">
        <f>Tabela1[[#This Row],[Perícia]]</f>
        <v>Investigação</v>
      </c>
      <c r="C18" s="29">
        <f>Tabela1[[#This Row],[Total]]</f>
        <v>10</v>
      </c>
      <c r="D18" s="29">
        <f ca="1" t="shared" si="0"/>
        <v>17</v>
      </c>
      <c r="E18" s="42">
        <f ca="1" t="shared" si="1"/>
        <v>27</v>
      </c>
    </row>
    <row r="19" spans="2:5">
      <c r="B19" s="38" t="str">
        <f>Tabela1[[#This Row],[Perícia]]</f>
        <v>Jogatina</v>
      </c>
      <c r="C19" s="27">
        <f>Tabela1[[#This Row],[Total]]</f>
        <v>3</v>
      </c>
      <c r="D19" s="27">
        <f ca="1" t="shared" si="0"/>
        <v>16</v>
      </c>
      <c r="E19" s="39">
        <f ca="1" t="shared" si="1"/>
        <v>19</v>
      </c>
    </row>
    <row r="20" spans="2:5">
      <c r="B20" s="41" t="str">
        <f>Tabela1[[#This Row],[Perícia]]</f>
        <v>Ladinagem</v>
      </c>
      <c r="C20" s="29">
        <f>Tabela1[[#This Row],[Total]]</f>
        <v>2</v>
      </c>
      <c r="D20" s="29">
        <f ca="1" t="shared" si="0"/>
        <v>5</v>
      </c>
      <c r="E20" s="42">
        <f ca="1" t="shared" si="1"/>
        <v>7</v>
      </c>
    </row>
    <row r="21" spans="2:5">
      <c r="B21" s="38" t="str">
        <f>Tabela1[[#This Row],[Perícia]]</f>
        <v>Luta</v>
      </c>
      <c r="C21" s="27">
        <f>Tabela1[[#This Row],[Total]]</f>
        <v>7</v>
      </c>
      <c r="D21" s="27">
        <f ca="1" t="shared" si="0"/>
        <v>1</v>
      </c>
      <c r="E21" s="39">
        <f ca="1" t="shared" si="1"/>
        <v>8</v>
      </c>
    </row>
    <row r="22" spans="2:5">
      <c r="B22" s="41" t="str">
        <f>Tabela1[[#This Row],[Perícia]]</f>
        <v>Misticismo</v>
      </c>
      <c r="C22" s="29">
        <f>Tabela1[[#This Row],[Total]]</f>
        <v>12</v>
      </c>
      <c r="D22" s="29">
        <f ca="1" t="shared" si="0"/>
        <v>16</v>
      </c>
      <c r="E22" s="42">
        <f ca="1" t="shared" si="1"/>
        <v>28</v>
      </c>
    </row>
    <row r="23" spans="2:5">
      <c r="B23" s="38" t="str">
        <f>Tabela1[[#This Row],[Perícia]]</f>
        <v>Nobreza</v>
      </c>
      <c r="C23" s="27">
        <f>Tabela1[[#This Row],[Total]]</f>
        <v>8</v>
      </c>
      <c r="D23" s="27">
        <f ca="1" t="shared" si="0"/>
        <v>18</v>
      </c>
      <c r="E23" s="39">
        <f ca="1" t="shared" si="1"/>
        <v>26</v>
      </c>
    </row>
    <row r="24" spans="2:5">
      <c r="B24" s="41" t="str">
        <f>Tabela1[[#This Row],[Perícia]]</f>
        <v>Ofício (Alquimista)</v>
      </c>
      <c r="C24" s="29">
        <f>Tabela1[[#This Row],[Total]]</f>
        <v>10</v>
      </c>
      <c r="D24" s="29">
        <f ca="1" t="shared" si="0"/>
        <v>18</v>
      </c>
      <c r="E24" s="42">
        <f ca="1" t="shared" si="1"/>
        <v>28</v>
      </c>
    </row>
    <row r="25" spans="2:5">
      <c r="B25" s="38" t="str">
        <f>Tabela1[[#This Row],[Perícia]]</f>
        <v>Ofício (Armeiro)</v>
      </c>
      <c r="C25" s="27">
        <f>Tabela1[[#This Row],[Total]]</f>
        <v>10</v>
      </c>
      <c r="D25" s="27">
        <f ca="1" t="shared" si="0"/>
        <v>19</v>
      </c>
      <c r="E25" s="39">
        <f ca="1" t="shared" si="1"/>
        <v>29</v>
      </c>
    </row>
    <row r="26" spans="2:5">
      <c r="B26" s="41" t="str">
        <f>Tabela1[[#This Row],[Perícia]]</f>
        <v>Ofício (Engenhoqueiro)</v>
      </c>
      <c r="C26" s="29">
        <f>Tabela1[[#This Row],[Total]]</f>
        <v>10</v>
      </c>
      <c r="D26" s="29">
        <f ca="1" t="shared" si="0"/>
        <v>13</v>
      </c>
      <c r="E26" s="42">
        <f ca="1" t="shared" si="1"/>
        <v>23</v>
      </c>
    </row>
    <row r="27" spans="2:5">
      <c r="B27" s="38" t="str">
        <f>Tabela1[[#This Row],[Perícia]]</f>
        <v>Percepção</v>
      </c>
      <c r="C27" s="27">
        <f>Tabela1[[#This Row],[Total]]</f>
        <v>10</v>
      </c>
      <c r="D27" s="27">
        <f ca="1" t="shared" si="0"/>
        <v>11</v>
      </c>
      <c r="E27" s="39">
        <f ca="1" t="shared" si="1"/>
        <v>21</v>
      </c>
    </row>
    <row r="28" spans="2:5">
      <c r="B28" s="41" t="str">
        <f>Tabela1[[#This Row],[Perícia]]</f>
        <v>Pilotagem</v>
      </c>
      <c r="C28" s="29">
        <f>Tabela1[[#This Row],[Total]]</f>
        <v>4</v>
      </c>
      <c r="D28" s="29">
        <f ca="1" t="shared" si="0"/>
        <v>16</v>
      </c>
      <c r="E28" s="42">
        <f ca="1" t="shared" si="1"/>
        <v>20</v>
      </c>
    </row>
    <row r="29" spans="2:5">
      <c r="B29" s="38" t="str">
        <f>Tabela1[[#This Row],[Perícia]]</f>
        <v>Pontaria</v>
      </c>
      <c r="C29" s="27">
        <f>Tabela1[[#This Row],[Total]]</f>
        <v>4</v>
      </c>
      <c r="D29" s="27">
        <f ca="1" t="shared" si="0"/>
        <v>5</v>
      </c>
      <c r="E29" s="39">
        <f ca="1" t="shared" si="1"/>
        <v>9</v>
      </c>
    </row>
    <row r="30" spans="2:5">
      <c r="B30" s="41" t="str">
        <f>Tabela1[[#This Row],[Perícia]]</f>
        <v>Reflexos</v>
      </c>
      <c r="C30" s="29">
        <f>Tabela1[[#This Row],[Total]]</f>
        <v>6</v>
      </c>
      <c r="D30" s="29">
        <f ca="1" t="shared" si="0"/>
        <v>14</v>
      </c>
      <c r="E30" s="42">
        <f ca="1" t="shared" si="1"/>
        <v>20</v>
      </c>
    </row>
    <row r="31" ht="17.25" spans="2:5">
      <c r="B31" s="43" t="str">
        <f>Tabela1[[#This Row],[Perícia]]</f>
        <v>Religião</v>
      </c>
      <c r="C31" s="50">
        <f>Tabela1[[#This Row],[Total]]</f>
        <v>6</v>
      </c>
      <c r="D31" s="50">
        <f ca="1" t="shared" si="0"/>
        <v>6</v>
      </c>
      <c r="E31" s="44">
        <f ca="1" t="shared" si="1"/>
        <v>12</v>
      </c>
    </row>
    <row r="32" ht="17.25"/>
  </sheetData>
  <mergeCells count="1">
    <mergeCell ref="G2:H2"/>
  </mergeCells>
  <dataValidations count="1">
    <dataValidation type="list" allowBlank="1" showInputMessage="1" showErrorMessage="1" sqref="G3">
      <formula1>$B$2:$B$31</formula1>
    </dataValidation>
  </dataValidations>
  <pageMargins left="0.511811024" right="0.511811024" top="0.787401575" bottom="0.787401575" header="0.31496062" footer="0.31496062"/>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5"/>
  <sheetViews>
    <sheetView workbookViewId="0">
      <selection activeCell="B7" sqref="B7"/>
    </sheetView>
  </sheetViews>
  <sheetFormatPr defaultColWidth="9" defaultRowHeight="16.5" outlineLevelCol="7"/>
  <cols>
    <col min="2" max="2" width="23.2844444444444" customWidth="1"/>
    <col min="3" max="3" width="15.4266666666667" customWidth="1"/>
    <col min="4" max="4" width="11.8533333333333" customWidth="1"/>
    <col min="5" max="5" width="10.5688888888889" customWidth="1"/>
  </cols>
  <sheetData>
    <row r="1" ht="17.25"/>
    <row r="2" ht="17.25" spans="2:8">
      <c r="B2" s="24" t="s">
        <v>81</v>
      </c>
      <c r="C2" s="24" t="s">
        <v>36</v>
      </c>
      <c r="D2" s="25" t="s">
        <v>82</v>
      </c>
      <c r="E2" s="70" t="s">
        <v>83</v>
      </c>
      <c r="G2" s="35" t="s">
        <v>84</v>
      </c>
      <c r="H2" s="36"/>
    </row>
    <row r="3" spans="2:8">
      <c r="B3" s="68" t="s">
        <v>85</v>
      </c>
      <c r="C3" s="68" t="s">
        <v>86</v>
      </c>
      <c r="D3" s="27">
        <v>1</v>
      </c>
      <c r="E3" s="37">
        <f t="shared" ref="E3:E35" si="0">IFERROR(VLOOKUP(D3,$G$3:$H$7,2,FALSE)^2*10,"")</f>
        <v>10</v>
      </c>
      <c r="F3">
        <v>1</v>
      </c>
      <c r="G3" s="38">
        <v>1</v>
      </c>
      <c r="H3" s="39">
        <v>1</v>
      </c>
    </row>
    <row r="4" spans="2:8">
      <c r="B4" s="30" t="s">
        <v>87</v>
      </c>
      <c r="C4" s="28" t="s">
        <v>86</v>
      </c>
      <c r="D4" s="29">
        <v>1</v>
      </c>
      <c r="E4" s="40">
        <f t="shared" si="0"/>
        <v>10</v>
      </c>
      <c r="F4">
        <v>1</v>
      </c>
      <c r="G4" s="41">
        <v>2</v>
      </c>
      <c r="H4" s="42">
        <v>3</v>
      </c>
    </row>
    <row r="5" spans="2:8">
      <c r="B5" s="68" t="s">
        <v>88</v>
      </c>
      <c r="C5" s="26" t="s">
        <v>89</v>
      </c>
      <c r="D5" s="27">
        <v>1</v>
      </c>
      <c r="E5" s="37">
        <f t="shared" si="0"/>
        <v>10</v>
      </c>
      <c r="G5" s="38">
        <v>3</v>
      </c>
      <c r="H5" s="39">
        <v>6</v>
      </c>
    </row>
    <row r="6" spans="2:8">
      <c r="B6" s="30" t="s">
        <v>90</v>
      </c>
      <c r="C6" s="28" t="s">
        <v>89</v>
      </c>
      <c r="D6" s="29">
        <v>1</v>
      </c>
      <c r="E6" s="40">
        <f t="shared" si="0"/>
        <v>10</v>
      </c>
      <c r="G6" s="41">
        <v>4</v>
      </c>
      <c r="H6" s="42">
        <v>10</v>
      </c>
    </row>
    <row r="7" ht="17.25" spans="2:8">
      <c r="B7" s="68" t="s">
        <v>91</v>
      </c>
      <c r="C7" s="26" t="s">
        <v>89</v>
      </c>
      <c r="D7" s="27">
        <v>1</v>
      </c>
      <c r="E7" s="37">
        <f t="shared" si="0"/>
        <v>10</v>
      </c>
      <c r="G7" s="43">
        <v>5</v>
      </c>
      <c r="H7" s="44">
        <v>15</v>
      </c>
    </row>
    <row r="8" ht="17.25" spans="2:5">
      <c r="B8" s="30" t="s">
        <v>92</v>
      </c>
      <c r="C8" s="28" t="s">
        <v>89</v>
      </c>
      <c r="D8" s="29">
        <v>1</v>
      </c>
      <c r="E8" s="40">
        <f t="shared" si="0"/>
        <v>10</v>
      </c>
    </row>
    <row r="9" spans="2:5">
      <c r="B9" s="68" t="s">
        <v>93</v>
      </c>
      <c r="C9" s="26" t="s">
        <v>89</v>
      </c>
      <c r="D9" s="27">
        <v>1</v>
      </c>
      <c r="E9" s="37">
        <f t="shared" si="0"/>
        <v>10</v>
      </c>
    </row>
    <row r="10" spans="2:5">
      <c r="B10" s="30" t="s">
        <v>94</v>
      </c>
      <c r="C10" s="28" t="s">
        <v>86</v>
      </c>
      <c r="D10" s="29">
        <v>1</v>
      </c>
      <c r="E10" s="40">
        <f t="shared" si="0"/>
        <v>10</v>
      </c>
    </row>
    <row r="11" spans="2:5">
      <c r="B11" s="68" t="s">
        <v>95</v>
      </c>
      <c r="C11" s="26" t="s">
        <v>89</v>
      </c>
      <c r="D11" s="27">
        <v>2</v>
      </c>
      <c r="E11" s="37">
        <f t="shared" si="0"/>
        <v>90</v>
      </c>
    </row>
    <row r="12" spans="2:5">
      <c r="B12" s="30" t="s">
        <v>96</v>
      </c>
      <c r="C12" s="28" t="s">
        <v>89</v>
      </c>
      <c r="D12" s="29">
        <v>1</v>
      </c>
      <c r="E12" s="40">
        <f t="shared" si="0"/>
        <v>10</v>
      </c>
    </row>
    <row r="13" spans="2:5">
      <c r="B13" s="68" t="s">
        <v>97</v>
      </c>
      <c r="C13" s="26" t="s">
        <v>86</v>
      </c>
      <c r="D13" s="27">
        <v>2</v>
      </c>
      <c r="E13" s="37">
        <f t="shared" si="0"/>
        <v>90</v>
      </c>
    </row>
    <row r="14" spans="2:5">
      <c r="B14" s="30" t="s">
        <v>98</v>
      </c>
      <c r="C14" s="28" t="s">
        <v>86</v>
      </c>
      <c r="D14" s="29">
        <v>2</v>
      </c>
      <c r="E14" s="40">
        <f t="shared" si="0"/>
        <v>90</v>
      </c>
    </row>
    <row r="15" spans="2:5">
      <c r="B15" s="68" t="s">
        <v>99</v>
      </c>
      <c r="C15" s="26" t="s">
        <v>100</v>
      </c>
      <c r="D15" s="27">
        <v>2</v>
      </c>
      <c r="E15" s="37">
        <f t="shared" si="0"/>
        <v>90</v>
      </c>
    </row>
    <row r="16" spans="2:5">
      <c r="B16" s="30" t="s">
        <v>101</v>
      </c>
      <c r="C16" s="28" t="s">
        <v>89</v>
      </c>
      <c r="D16" s="29">
        <v>3</v>
      </c>
      <c r="E16" s="40">
        <f t="shared" si="0"/>
        <v>360</v>
      </c>
    </row>
    <row r="17" spans="2:5">
      <c r="B17" s="68"/>
      <c r="C17" s="26"/>
      <c r="D17" s="27"/>
      <c r="E17" s="37" t="str">
        <f t="shared" si="0"/>
        <v/>
      </c>
    </row>
    <row r="18" spans="2:5">
      <c r="B18" s="30"/>
      <c r="C18" s="28"/>
      <c r="D18" s="29"/>
      <c r="E18" s="40" t="str">
        <f t="shared" si="0"/>
        <v/>
      </c>
    </row>
    <row r="19" spans="2:5">
      <c r="B19" s="68"/>
      <c r="C19" s="26"/>
      <c r="D19" s="27"/>
      <c r="E19" s="37" t="str">
        <f t="shared" si="0"/>
        <v/>
      </c>
    </row>
    <row r="20" spans="2:5">
      <c r="B20" s="30"/>
      <c r="C20" s="28"/>
      <c r="D20" s="29"/>
      <c r="E20" s="40" t="str">
        <f t="shared" si="0"/>
        <v/>
      </c>
    </row>
    <row r="21" spans="2:5">
      <c r="B21" s="68"/>
      <c r="C21" s="26"/>
      <c r="D21" s="27"/>
      <c r="E21" s="37" t="str">
        <f t="shared" si="0"/>
        <v/>
      </c>
    </row>
    <row r="22" spans="2:5">
      <c r="B22" s="30"/>
      <c r="C22" s="28"/>
      <c r="D22" s="29"/>
      <c r="E22" s="40" t="str">
        <f t="shared" si="0"/>
        <v/>
      </c>
    </row>
    <row r="23" spans="2:5">
      <c r="B23" s="68"/>
      <c r="C23" s="26"/>
      <c r="D23" s="27"/>
      <c r="E23" s="37" t="str">
        <f t="shared" si="0"/>
        <v/>
      </c>
    </row>
    <row r="24" spans="2:5">
      <c r="B24" s="30"/>
      <c r="C24" s="28"/>
      <c r="D24" s="29"/>
      <c r="E24" s="40" t="str">
        <f t="shared" si="0"/>
        <v/>
      </c>
    </row>
    <row r="25" spans="2:5">
      <c r="B25" s="68"/>
      <c r="C25" s="26"/>
      <c r="D25" s="27"/>
      <c r="E25" s="37" t="str">
        <f t="shared" si="0"/>
        <v/>
      </c>
    </row>
    <row r="26" spans="2:5">
      <c r="B26" s="30"/>
      <c r="C26" s="30"/>
      <c r="D26" s="29"/>
      <c r="E26" s="40" t="str">
        <f t="shared" si="0"/>
        <v/>
      </c>
    </row>
    <row r="27" spans="2:5">
      <c r="B27" s="68"/>
      <c r="C27" s="26"/>
      <c r="D27" s="27"/>
      <c r="E27" s="37" t="str">
        <f t="shared" si="0"/>
        <v/>
      </c>
    </row>
    <row r="28" spans="2:5">
      <c r="B28" s="30"/>
      <c r="C28" s="28"/>
      <c r="D28" s="29"/>
      <c r="E28" s="40" t="str">
        <f t="shared" si="0"/>
        <v/>
      </c>
    </row>
    <row r="29" spans="2:5">
      <c r="B29" s="68"/>
      <c r="C29" s="26"/>
      <c r="D29" s="27"/>
      <c r="E29" s="37" t="str">
        <f t="shared" si="0"/>
        <v/>
      </c>
    </row>
    <row r="30" spans="2:5">
      <c r="B30" s="30"/>
      <c r="C30" s="28"/>
      <c r="D30" s="29"/>
      <c r="E30" s="40" t="str">
        <f t="shared" si="0"/>
        <v/>
      </c>
    </row>
    <row r="31" spans="2:5">
      <c r="B31" s="68"/>
      <c r="C31" s="26"/>
      <c r="D31" s="27"/>
      <c r="E31" s="37" t="str">
        <f t="shared" si="0"/>
        <v/>
      </c>
    </row>
    <row r="32" spans="2:5">
      <c r="B32" s="30"/>
      <c r="C32" s="28"/>
      <c r="D32" s="29"/>
      <c r="E32" s="40" t="str">
        <f t="shared" si="0"/>
        <v/>
      </c>
    </row>
    <row r="33" spans="2:5">
      <c r="B33" s="68"/>
      <c r="C33" s="26"/>
      <c r="D33" s="27"/>
      <c r="E33" s="37" t="str">
        <f t="shared" si="0"/>
        <v/>
      </c>
    </row>
    <row r="34" spans="2:5">
      <c r="B34" s="30"/>
      <c r="C34" s="28"/>
      <c r="D34" s="29"/>
      <c r="E34" s="40" t="str">
        <f t="shared" si="0"/>
        <v/>
      </c>
    </row>
    <row r="35" spans="2:5">
      <c r="B35" s="69"/>
      <c r="C35" s="31"/>
      <c r="D35" s="32"/>
      <c r="E35" s="47" t="str">
        <f t="shared" si="0"/>
        <v/>
      </c>
    </row>
  </sheetData>
  <mergeCells count="1">
    <mergeCell ref="G2:H2"/>
  </mergeCells>
  <pageMargins left="0.511811024" right="0.511811024" top="0.787401575" bottom="0.787401575" header="0.31496062" footer="0.31496062"/>
  <headerFooter/>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35"/>
  <sheetViews>
    <sheetView zoomScale="85" zoomScaleNormal="85" topLeftCell="A13" workbookViewId="0">
      <selection activeCell="B20" sqref="B20"/>
    </sheetView>
  </sheetViews>
  <sheetFormatPr defaultColWidth="9" defaultRowHeight="16.5"/>
  <cols>
    <col min="2" max="2" width="21.1422222222222" customWidth="1"/>
    <col min="4" max="4" width="17.7111111111111" customWidth="1"/>
    <col min="5" max="5" width="11" customWidth="1"/>
  </cols>
  <sheetData>
    <row r="1" ht="17.25"/>
    <row r="2" ht="17.25" spans="2:6">
      <c r="B2" s="35" t="s">
        <v>102</v>
      </c>
      <c r="C2" s="48"/>
      <c r="D2" s="48"/>
      <c r="E2" s="63"/>
      <c r="F2" s="36"/>
    </row>
    <row r="3" spans="2:6">
      <c r="B3" s="38" t="s">
        <v>23</v>
      </c>
      <c r="C3" s="27" t="s">
        <v>24</v>
      </c>
      <c r="D3" s="27" t="s">
        <v>25</v>
      </c>
      <c r="E3" s="37" t="s">
        <v>103</v>
      </c>
      <c r="F3" s="39" t="s">
        <v>104</v>
      </c>
    </row>
    <row r="4" spans="2:6">
      <c r="B4" s="49" t="s">
        <v>105</v>
      </c>
      <c r="C4" s="29">
        <v>10</v>
      </c>
      <c r="D4" s="29">
        <v>2</v>
      </c>
      <c r="E4" s="40">
        <v>20</v>
      </c>
      <c r="F4" s="42">
        <v>15</v>
      </c>
    </row>
    <row r="5" ht="17.25" spans="2:6">
      <c r="B5" s="43"/>
      <c r="C5" s="50"/>
      <c r="D5" s="50"/>
      <c r="E5" s="64"/>
      <c r="F5" s="44"/>
    </row>
    <row r="6" ht="18"/>
    <row r="7" ht="17.25" spans="2:8">
      <c r="B7" s="51" t="s">
        <v>106</v>
      </c>
      <c r="C7" s="52"/>
      <c r="D7" s="52"/>
      <c r="E7" s="52"/>
      <c r="F7" s="52"/>
      <c r="G7" s="52"/>
      <c r="H7" s="65"/>
    </row>
    <row r="8" spans="2:8">
      <c r="B8" s="38" t="s">
        <v>23</v>
      </c>
      <c r="C8" s="27" t="s">
        <v>26</v>
      </c>
      <c r="D8" s="27" t="s">
        <v>107</v>
      </c>
      <c r="E8" s="27" t="s">
        <v>27</v>
      </c>
      <c r="F8" s="37" t="s">
        <v>104</v>
      </c>
      <c r="G8" s="37" t="s">
        <v>36</v>
      </c>
      <c r="H8" s="39" t="s">
        <v>28</v>
      </c>
    </row>
    <row r="9" spans="2:8">
      <c r="B9" s="41" t="s">
        <v>30</v>
      </c>
      <c r="C9" s="29" t="s">
        <v>108</v>
      </c>
      <c r="D9" s="29"/>
      <c r="E9" s="29"/>
      <c r="F9" s="40"/>
      <c r="G9" s="40" t="s">
        <v>109</v>
      </c>
      <c r="H9" s="42" t="s">
        <v>110</v>
      </c>
    </row>
    <row r="10" spans="2:8">
      <c r="B10" s="38" t="s">
        <v>111</v>
      </c>
      <c r="C10" s="27" t="s">
        <v>112</v>
      </c>
      <c r="D10" s="27" t="s">
        <v>113</v>
      </c>
      <c r="E10" s="27"/>
      <c r="F10" s="37">
        <v>2</v>
      </c>
      <c r="G10" s="37" t="s">
        <v>109</v>
      </c>
      <c r="H10" s="39" t="s">
        <v>110</v>
      </c>
    </row>
    <row r="11" spans="2:8">
      <c r="B11" s="41"/>
      <c r="C11" s="29"/>
      <c r="D11" s="29"/>
      <c r="E11" s="29"/>
      <c r="F11" s="40"/>
      <c r="G11" s="40"/>
      <c r="H11" s="42"/>
    </row>
    <row r="12" spans="2:8">
      <c r="B12" s="38"/>
      <c r="C12" s="27"/>
      <c r="D12" s="27"/>
      <c r="E12" s="27"/>
      <c r="F12" s="37"/>
      <c r="G12" s="37"/>
      <c r="H12" s="39"/>
    </row>
    <row r="13" ht="17.25" spans="2:8">
      <c r="B13" s="45"/>
      <c r="C13" s="53"/>
      <c r="D13" s="53"/>
      <c r="E13" s="53"/>
      <c r="F13" s="66"/>
      <c r="G13" s="66"/>
      <c r="H13" s="46"/>
    </row>
    <row r="14" ht="18"/>
    <row r="15" ht="17.25" spans="2:9">
      <c r="B15" s="35" t="s">
        <v>114</v>
      </c>
      <c r="C15" s="48"/>
      <c r="D15" s="48"/>
      <c r="E15" s="48"/>
      <c r="F15" s="48"/>
      <c r="G15" s="48"/>
      <c r="H15" s="48"/>
      <c r="I15" s="36"/>
    </row>
    <row r="16" spans="2:9">
      <c r="B16" s="54" t="s">
        <v>23</v>
      </c>
      <c r="C16" s="55" t="s">
        <v>24</v>
      </c>
      <c r="D16" s="55"/>
      <c r="E16" s="55" t="s">
        <v>115</v>
      </c>
      <c r="F16" s="55" t="s">
        <v>116</v>
      </c>
      <c r="G16" s="55" t="s">
        <v>104</v>
      </c>
      <c r="H16" s="55" t="s">
        <v>117</v>
      </c>
      <c r="I16" s="67" t="s">
        <v>103</v>
      </c>
    </row>
    <row r="17" spans="2:9">
      <c r="B17" s="5" t="s">
        <v>118</v>
      </c>
      <c r="C17" s="93" t="s">
        <v>119</v>
      </c>
      <c r="D17" s="11"/>
      <c r="E17" s="29">
        <v>1</v>
      </c>
      <c r="F17" s="29">
        <v>4</v>
      </c>
      <c r="G17" s="29">
        <f>PRODUCT(E17:F17)</f>
        <v>4</v>
      </c>
      <c r="H17" s="29">
        <v>30</v>
      </c>
      <c r="I17" s="42">
        <f>PRODUCT(H17,E17)</f>
        <v>30</v>
      </c>
    </row>
    <row r="18" spans="2:9">
      <c r="B18" s="54" t="s">
        <v>120</v>
      </c>
      <c r="C18" s="55" t="s">
        <v>121</v>
      </c>
      <c r="D18" s="55"/>
      <c r="E18" s="55">
        <v>2</v>
      </c>
      <c r="F18" s="55">
        <v>2</v>
      </c>
      <c r="G18" s="55">
        <f>PRODUCT(E18:F18)</f>
        <v>4</v>
      </c>
      <c r="H18" s="55"/>
      <c r="I18" s="67">
        <f>PRODUCT(H18,E18)</f>
        <v>2</v>
      </c>
    </row>
    <row r="19" spans="2:9">
      <c r="B19" s="5" t="s">
        <v>122</v>
      </c>
      <c r="C19" s="11" t="s">
        <v>121</v>
      </c>
      <c r="D19" s="11"/>
      <c r="E19" s="29">
        <v>2</v>
      </c>
      <c r="F19" s="29">
        <v>2</v>
      </c>
      <c r="G19" s="29">
        <f>PRODUCT(E19:F19)</f>
        <v>4</v>
      </c>
      <c r="H19" s="29"/>
      <c r="I19" s="42">
        <f>PRODUCT(H19,E19)</f>
        <v>2</v>
      </c>
    </row>
    <row r="20" spans="2:9">
      <c r="B20" s="54" t="s">
        <v>123</v>
      </c>
      <c r="C20" s="55"/>
      <c r="D20" s="55"/>
      <c r="E20" s="55">
        <v>1</v>
      </c>
      <c r="F20" s="55">
        <v>2</v>
      </c>
      <c r="G20" s="55">
        <f>PRODUCT(E20:F20)</f>
        <v>2</v>
      </c>
      <c r="H20" s="55"/>
      <c r="I20" s="67">
        <f>PRODUCT(H20,E20)</f>
        <v>1</v>
      </c>
    </row>
    <row r="21" spans="2:9">
      <c r="B21" s="5" t="s">
        <v>124</v>
      </c>
      <c r="C21" s="11"/>
      <c r="D21" s="11"/>
      <c r="E21" s="29">
        <v>1</v>
      </c>
      <c r="F21" s="29">
        <v>2</v>
      </c>
      <c r="G21" s="29">
        <v>2</v>
      </c>
      <c r="H21" s="29"/>
      <c r="I21" s="42"/>
    </row>
    <row r="22" spans="2:9">
      <c r="B22" s="54"/>
      <c r="C22" s="55"/>
      <c r="D22" s="55"/>
      <c r="E22" s="55"/>
      <c r="F22" s="55"/>
      <c r="G22" s="55"/>
      <c r="H22" s="55"/>
      <c r="I22" s="67"/>
    </row>
    <row r="23" spans="2:9">
      <c r="B23" s="5"/>
      <c r="C23" s="11"/>
      <c r="D23" s="11"/>
      <c r="E23" s="29"/>
      <c r="F23" s="29"/>
      <c r="G23" s="29"/>
      <c r="H23" s="29"/>
      <c r="I23" s="42"/>
    </row>
    <row r="24" spans="2:9">
      <c r="B24" s="54"/>
      <c r="C24" s="55"/>
      <c r="D24" s="55"/>
      <c r="E24" s="55"/>
      <c r="F24" s="55"/>
      <c r="G24" s="55"/>
      <c r="H24" s="55"/>
      <c r="I24" s="67"/>
    </row>
    <row r="25" spans="2:9">
      <c r="B25" s="5"/>
      <c r="C25" s="11"/>
      <c r="D25" s="11"/>
      <c r="E25" s="29"/>
      <c r="F25" s="29"/>
      <c r="G25" s="29"/>
      <c r="H25" s="29"/>
      <c r="I25" s="42"/>
    </row>
    <row r="26" spans="2:9">
      <c r="B26" s="54"/>
      <c r="C26" s="55"/>
      <c r="D26" s="55"/>
      <c r="E26" s="55"/>
      <c r="F26" s="55"/>
      <c r="G26" s="55"/>
      <c r="H26" s="55"/>
      <c r="I26" s="67"/>
    </row>
    <row r="27" spans="2:9">
      <c r="B27" s="5"/>
      <c r="C27" s="11"/>
      <c r="D27" s="11"/>
      <c r="E27" s="29"/>
      <c r="F27" s="29"/>
      <c r="G27" s="29"/>
      <c r="H27" s="29"/>
      <c r="I27" s="42"/>
    </row>
    <row r="28" spans="2:9">
      <c r="B28" s="54"/>
      <c r="C28" s="55"/>
      <c r="D28" s="55"/>
      <c r="E28" s="55"/>
      <c r="F28" s="55"/>
      <c r="G28" s="55"/>
      <c r="H28" s="55"/>
      <c r="I28" s="67"/>
    </row>
    <row r="29" ht="17.25" spans="2:9">
      <c r="B29" s="7"/>
      <c r="C29" s="56"/>
      <c r="D29" s="56"/>
      <c r="E29" s="53"/>
      <c r="F29" s="53"/>
      <c r="G29" s="53"/>
      <c r="H29" s="53"/>
      <c r="I29" s="46"/>
    </row>
    <row r="30" ht="17.25"/>
    <row r="31" ht="17.25"/>
    <row r="32" ht="17.25" spans="2:4">
      <c r="B32" s="1" t="s">
        <v>125</v>
      </c>
      <c r="C32" s="57">
        <f>SUM(G17:G29,F9:F13,F4:F5)</f>
        <v>33</v>
      </c>
      <c r="D32" s="2">
        <f>Clebina!C3*3</f>
        <v>48</v>
      </c>
    </row>
    <row r="33" ht="15" customHeight="1" spans="2:4">
      <c r="B33" s="58" t="s">
        <v>126</v>
      </c>
      <c r="C33" s="59">
        <f>Clebina!C3*10</f>
        <v>160</v>
      </c>
      <c r="D33" s="60"/>
    </row>
    <row r="34" ht="15.75" customHeight="1" spans="2:4">
      <c r="B34" s="7" t="s">
        <v>127</v>
      </c>
      <c r="C34" s="61" t="str">
        <f>IF(C32&gt;D32,"Sobrecarga","Sem Penalidade")</f>
        <v>Sem Penalidade</v>
      </c>
      <c r="D34" s="62"/>
    </row>
    <row r="35" ht="17.25"/>
  </sheetData>
  <mergeCells count="19">
    <mergeCell ref="B2:F2"/>
    <mergeCell ref="B7:H7"/>
    <mergeCell ref="B15:I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3:D33"/>
    <mergeCell ref="C34:D34"/>
  </mergeCells>
  <pageMargins left="0.511811024" right="0.511811024" top="0.787401575" bottom="0.787401575" header="0.31496062" footer="0.31496062"/>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33"/>
  <sheetViews>
    <sheetView zoomScale="88" zoomScaleNormal="88" topLeftCell="D4" workbookViewId="0">
      <selection activeCell="J27" sqref="J27"/>
    </sheetView>
  </sheetViews>
  <sheetFormatPr defaultColWidth="9" defaultRowHeight="16.5"/>
  <cols>
    <col min="2" max="2" width="22" customWidth="1"/>
    <col min="3" max="3" width="9.56888888888889" customWidth="1"/>
    <col min="4" max="4" width="10.5688888888889" customWidth="1"/>
    <col min="5" max="5" width="13.2844444444444" customWidth="1"/>
    <col min="6" max="7" width="11.4266666666667" customWidth="1"/>
    <col min="8" max="8" width="11.1422222222222" customWidth="1"/>
    <col min="9" max="9" width="21.4266666666667" customWidth="1"/>
    <col min="10" max="10" width="10.1422222222222" customWidth="1"/>
    <col min="11" max="11" width="13.8533333333333" customWidth="1"/>
    <col min="12" max="12" width="21.4266666666667" customWidth="1"/>
    <col min="13" max="13" width="26.7111111111111" customWidth="1"/>
    <col min="14" max="14" width="9.85333333333333" customWidth="1"/>
    <col min="15" max="15" width="12.5688888888889" customWidth="1"/>
  </cols>
  <sheetData>
    <row r="1" ht="17.25"/>
    <row r="2" ht="15" customHeight="1" spans="2:16">
      <c r="B2" s="24" t="s">
        <v>128</v>
      </c>
      <c r="C2" s="25" t="s">
        <v>129</v>
      </c>
      <c r="D2" s="25" t="s">
        <v>1</v>
      </c>
      <c r="E2" s="25" t="s">
        <v>130</v>
      </c>
      <c r="F2" s="25" t="s">
        <v>131</v>
      </c>
      <c r="G2" s="25" t="s">
        <v>41</v>
      </c>
      <c r="H2" s="25" t="s">
        <v>24</v>
      </c>
      <c r="I2" s="25" t="s">
        <v>132</v>
      </c>
      <c r="J2" s="25" t="s">
        <v>79</v>
      </c>
      <c r="K2" s="33" t="s">
        <v>133</v>
      </c>
      <c r="L2" s="33" t="s">
        <v>134</v>
      </c>
      <c r="M2" s="34" t="s">
        <v>135</v>
      </c>
      <c r="O2" s="35" t="s">
        <v>136</v>
      </c>
      <c r="P2" s="36"/>
    </row>
    <row r="3" spans="2:16">
      <c r="B3" s="26" t="s">
        <v>137</v>
      </c>
      <c r="C3" s="27" t="s">
        <v>138</v>
      </c>
      <c r="D3" s="27">
        <f>VLOOKUP(C3,Clebina!$B$3:$D$8,3,FALSE)</f>
        <v>2</v>
      </c>
      <c r="E3" s="27">
        <f>VLOOKUP(Clebina!$G$2,'uns dados aí'!$I$3:$J$22,2,FALSE)</f>
        <v>2</v>
      </c>
      <c r="F3" s="27" t="str">
        <f>IF(Tabela1[[#This Row],[Treinada?]]="sim",VLOOKUP(Clebina!$G$2,'uns dados aí'!$E$2:$F$4,2,TRUE),"")</f>
        <v/>
      </c>
      <c r="G3" s="27"/>
      <c r="H3" s="27"/>
      <c r="I3" s="27"/>
      <c r="J3" s="27">
        <f>SUM(Tabela1[[#This Row],[MOD]:[Bônus Habilidade]])-IF(Tabela1[[#This Row],[Penalidade de Armadura?]]="sim",Clebina!$D$16,0)</f>
        <v>2</v>
      </c>
      <c r="K3" s="27" t="s">
        <v>139</v>
      </c>
      <c r="L3" s="27" t="s">
        <v>140</v>
      </c>
      <c r="M3" s="37" t="s">
        <v>141</v>
      </c>
      <c r="O3" s="38" t="s">
        <v>34</v>
      </c>
      <c r="P3" s="39">
        <v>2</v>
      </c>
    </row>
    <row r="4" spans="2:16">
      <c r="B4" s="28" t="s">
        <v>142</v>
      </c>
      <c r="C4" s="29" t="s">
        <v>143</v>
      </c>
      <c r="D4" s="29">
        <f>VLOOKUP(C4,Clebina!$B$3:$D$8,3,FALSE)</f>
        <v>1</v>
      </c>
      <c r="E4" s="29">
        <f>VLOOKUP(Clebina!$G$2,'uns dados aí'!$I$3:$J$22,2,FALSE)</f>
        <v>2</v>
      </c>
      <c r="F4" s="29" t="str">
        <f>IF(Tabela1[[#This Row],[Treinada?]]="sim",VLOOKUP(Clebina!$G$2,'uns dados aí'!$E$2:$F$4,2,TRUE),"")</f>
        <v/>
      </c>
      <c r="G4" s="29"/>
      <c r="H4" s="29"/>
      <c r="I4" s="29"/>
      <c r="J4" s="29">
        <f>SUM(Tabela1[[#This Row],[MOD]:[Bônus Habilidade]])-IF(Tabela1[[#This Row],[Penalidade de Armadura?]]="sim",Clebina!$D$16,0)</f>
        <v>3</v>
      </c>
      <c r="K4" s="29" t="s">
        <v>139</v>
      </c>
      <c r="L4" s="29" t="s">
        <v>141</v>
      </c>
      <c r="M4" s="40" t="s">
        <v>140</v>
      </c>
      <c r="O4" s="41" t="s">
        <v>57</v>
      </c>
      <c r="P4" s="42">
        <v>4</v>
      </c>
    </row>
    <row r="5" ht="17.25" spans="2:16">
      <c r="B5" s="26" t="s">
        <v>144</v>
      </c>
      <c r="C5" s="27" t="s">
        <v>145</v>
      </c>
      <c r="D5" s="27">
        <f>VLOOKUP(C5,Clebina!$B$3:$D$8,3,FALSE)</f>
        <v>3</v>
      </c>
      <c r="E5" s="27">
        <f>VLOOKUP(Clebina!$G$2,'uns dados aí'!$I$3:$J$22,2,FALSE)</f>
        <v>2</v>
      </c>
      <c r="F5" s="27" t="str">
        <f>IF(Tabela1[[#This Row],[Treinada?]]="sim",VLOOKUP(Clebina!$G$2,'uns dados aí'!$E$2:$F$4,2,TRUE),"")</f>
        <v/>
      </c>
      <c r="G5" s="27"/>
      <c r="H5" s="27"/>
      <c r="I5" s="27"/>
      <c r="J5" s="27">
        <f>SUM(Tabela1[[#This Row],[MOD]:[Bônus Habilidade]])-IF(Tabela1[[#This Row],[Penalidade de Armadura?]]="sim",Clebina!$D$16,0)</f>
        <v>5</v>
      </c>
      <c r="K5" s="27" t="s">
        <v>139</v>
      </c>
      <c r="L5" s="27" t="s">
        <v>140</v>
      </c>
      <c r="M5" s="37" t="s">
        <v>140</v>
      </c>
      <c r="O5" s="43" t="s">
        <v>71</v>
      </c>
      <c r="P5" s="44">
        <v>6</v>
      </c>
    </row>
    <row r="6" ht="18" spans="2:13">
      <c r="B6" s="28" t="s">
        <v>146</v>
      </c>
      <c r="C6" s="29" t="s">
        <v>143</v>
      </c>
      <c r="D6" s="29">
        <f>VLOOKUP(C6,Clebina!$B$3:$D$8,3,FALSE)</f>
        <v>1</v>
      </c>
      <c r="E6" s="29">
        <f>VLOOKUP(Clebina!$G$2,'uns dados aí'!$I$3:$J$22,2,FALSE)</f>
        <v>2</v>
      </c>
      <c r="F6" s="29" t="str">
        <f>IF(Tabela1[[#This Row],[Treinada?]]="sim",VLOOKUP(Clebina!$G$2,'uns dados aí'!$E$2:$F$4,2,TRUE),"")</f>
        <v/>
      </c>
      <c r="G6" s="29"/>
      <c r="H6" s="29"/>
      <c r="I6" s="29"/>
      <c r="J6" s="29">
        <f>SUM(Tabela1[[#This Row],[MOD]:[Bônus Habilidade]])-IF(Tabela1[[#This Row],[Penalidade de Armadura?]]="sim",Clebina!$D$16,0)</f>
        <v>3</v>
      </c>
      <c r="K6" s="29" t="s">
        <v>139</v>
      </c>
      <c r="L6" s="29" t="s">
        <v>140</v>
      </c>
      <c r="M6" s="40" t="s">
        <v>140</v>
      </c>
    </row>
    <row r="7" ht="15.75" customHeight="1" spans="2:16">
      <c r="B7" s="26" t="s">
        <v>147</v>
      </c>
      <c r="C7" s="27" t="s">
        <v>138</v>
      </c>
      <c r="D7" s="27">
        <f>VLOOKUP(C7,Clebina!$B$3:$D$8,3,FALSE)</f>
        <v>2</v>
      </c>
      <c r="E7" s="27">
        <f>VLOOKUP(Clebina!$G$2,'uns dados aí'!$I$3:$J$22,2,FALSE)</f>
        <v>2</v>
      </c>
      <c r="F7" s="27" t="str">
        <f>IF(Tabela1[[#This Row],[Treinada?]]="sim",VLOOKUP(Clebina!$G$2,'uns dados aí'!$E$2:$F$4,2,TRUE),"")</f>
        <v/>
      </c>
      <c r="G7" s="27"/>
      <c r="H7" s="27"/>
      <c r="I7" s="27"/>
      <c r="J7" s="27">
        <f>SUM(Tabela1[[#This Row],[MOD]:[Bônus Habilidade]])-IF(Tabela1[[#This Row],[Penalidade de Armadura?]]="sim",Clebina!$D$16,0)</f>
        <v>4</v>
      </c>
      <c r="K7" s="27" t="s">
        <v>139</v>
      </c>
      <c r="L7" s="27" t="s">
        <v>140</v>
      </c>
      <c r="M7" s="37" t="s">
        <v>140</v>
      </c>
      <c r="O7" s="35" t="s">
        <v>148</v>
      </c>
      <c r="P7" s="36"/>
    </row>
    <row r="8" ht="15" customHeight="1" spans="2:16">
      <c r="B8" s="28" t="s">
        <v>149</v>
      </c>
      <c r="C8" s="29" t="s">
        <v>150</v>
      </c>
      <c r="D8" s="29">
        <f>VLOOKUP(C8,Clebina!$B$3:$D$8,3,FALSE)</f>
        <v>6</v>
      </c>
      <c r="E8" s="29">
        <f>VLOOKUP(Clebina!$G$2,'uns dados aí'!$I$3:$J$22,2,FALSE)</f>
        <v>2</v>
      </c>
      <c r="F8" s="29">
        <f>IF(Tabela1[[#This Row],[Treinada?]]="sim",VLOOKUP(Clebina!$G$2,'uns dados aí'!$E$2:$F$4,2,TRUE),"")</f>
        <v>2</v>
      </c>
      <c r="G8" s="29"/>
      <c r="H8" s="29"/>
      <c r="I8" s="29"/>
      <c r="J8" s="29">
        <f>SUM(Tabela1[[#This Row],[MOD]:[Bônus Habilidade]])-IF(Tabela1[[#This Row],[Penalidade de Armadura?]]="sim",Clebina!$D$16,0)</f>
        <v>10</v>
      </c>
      <c r="K8" s="29" t="s">
        <v>141</v>
      </c>
      <c r="L8" s="29" t="s">
        <v>141</v>
      </c>
      <c r="M8" s="40" t="s">
        <v>140</v>
      </c>
      <c r="O8" s="38" t="s">
        <v>4</v>
      </c>
      <c r="P8" s="39">
        <f>VLOOKUP(O8,'uns dados aí'!$B$16:$E$22,4,FALSE)</f>
        <v>0</v>
      </c>
    </row>
    <row r="9" spans="2:16">
      <c r="B9" s="26" t="s">
        <v>151</v>
      </c>
      <c r="C9" s="27" t="s">
        <v>152</v>
      </c>
      <c r="D9" s="27">
        <f>VLOOKUP(C9,Clebina!$B$3:$D$8,3,FALSE)</f>
        <v>4</v>
      </c>
      <c r="E9" s="27">
        <f>VLOOKUP(Clebina!$G$2,'uns dados aí'!$I$3:$J$22,2,FALSE)</f>
        <v>2</v>
      </c>
      <c r="F9" s="27">
        <f>IF(Tabela1[[#This Row],[Treinada?]]="sim",VLOOKUP(Clebina!$G$2,'uns dados aí'!$E$2:$F$4,2,TRUE),"")</f>
        <v>2</v>
      </c>
      <c r="G9" s="27"/>
      <c r="H9" s="27"/>
      <c r="I9" s="27"/>
      <c r="J9" s="27">
        <f>SUM(Tabela1[[#This Row],[MOD]:[Bônus Habilidade]])-IF(Tabela1[[#This Row],[Penalidade de Armadura?]]="sim",Clebina!$D$16,0)</f>
        <v>8</v>
      </c>
      <c r="K9" s="27" t="s">
        <v>141</v>
      </c>
      <c r="L9" s="27" t="s">
        <v>140</v>
      </c>
      <c r="M9" s="37" t="s">
        <v>140</v>
      </c>
      <c r="O9" s="41" t="s">
        <v>9</v>
      </c>
      <c r="P9" s="42">
        <f>VLOOKUP(O9,'uns dados aí'!$B$16:$E$22,4,FALSE)</f>
        <v>2</v>
      </c>
    </row>
    <row r="10" spans="2:16">
      <c r="B10" s="28" t="s">
        <v>153</v>
      </c>
      <c r="C10" s="29" t="s">
        <v>143</v>
      </c>
      <c r="D10" s="29">
        <f>VLOOKUP(C10,Clebina!$B$3:$D$8,3,FALSE)</f>
        <v>1</v>
      </c>
      <c r="E10" s="29">
        <f>VLOOKUP(Clebina!$G$2,'uns dados aí'!$I$3:$J$22,2,FALSE)</f>
        <v>2</v>
      </c>
      <c r="F10" s="29" t="str">
        <f>IF(Tabela1[[#This Row],[Treinada?]]="sim",VLOOKUP(Clebina!$G$2,'uns dados aí'!$E$2:$F$4,2,TRUE),"")</f>
        <v/>
      </c>
      <c r="G10" s="29"/>
      <c r="H10" s="29"/>
      <c r="I10" s="29"/>
      <c r="J10" s="29">
        <f>SUM(Tabela1[[#This Row],[MOD]:[Bônus Habilidade]])-IF(Tabela1[[#This Row],[Penalidade de Armadura?]]="sim",Clebina!$D$16,0)</f>
        <v>3</v>
      </c>
      <c r="K10" s="29" t="s">
        <v>139</v>
      </c>
      <c r="L10" s="29" t="s">
        <v>140</v>
      </c>
      <c r="M10" s="40" t="s">
        <v>140</v>
      </c>
      <c r="O10" s="38" t="s">
        <v>10</v>
      </c>
      <c r="P10" s="39">
        <f>VLOOKUP(O10,'uns dados aí'!$B$16:$E$22,4,FALSE)</f>
        <v>-2</v>
      </c>
    </row>
    <row r="11" spans="2:16">
      <c r="B11" s="26" t="s">
        <v>154</v>
      </c>
      <c r="C11" s="27" t="s">
        <v>143</v>
      </c>
      <c r="D11" s="27">
        <f>VLOOKUP(C11,Clebina!$B$3:$D$8,3,FALSE)</f>
        <v>1</v>
      </c>
      <c r="E11" s="27">
        <f>VLOOKUP(Clebina!$G$2,'uns dados aí'!$I$3:$J$22,2,FALSE)</f>
        <v>2</v>
      </c>
      <c r="F11" s="27" t="str">
        <f>IF(Tabela1[[#This Row],[Treinada?]]="sim",VLOOKUP(Clebina!$G$2,'uns dados aí'!$E$2:$F$4,2,TRUE),"")</f>
        <v/>
      </c>
      <c r="G11" s="27"/>
      <c r="H11" s="27"/>
      <c r="I11" s="27"/>
      <c r="J11" s="27">
        <f>SUM(Tabela1[[#This Row],[MOD]:[Bônus Habilidade]])-IF(Tabela1[[#This Row],[Penalidade de Armadura?]]="sim",Clebina!$D$16,0)</f>
        <v>3</v>
      </c>
      <c r="K11" s="27" t="s">
        <v>139</v>
      </c>
      <c r="L11" s="27" t="s">
        <v>140</v>
      </c>
      <c r="M11" s="37" t="s">
        <v>140</v>
      </c>
      <c r="O11" s="41" t="s">
        <v>12</v>
      </c>
      <c r="P11" s="42">
        <f>VLOOKUP(O11,'uns dados aí'!$B$16:$E$22,4,FALSE)</f>
        <v>4</v>
      </c>
    </row>
    <row r="12" spans="2:16">
      <c r="B12" s="28" t="s">
        <v>155</v>
      </c>
      <c r="C12" s="29" t="s">
        <v>156</v>
      </c>
      <c r="D12" s="29">
        <f>VLOOKUP(C12,Clebina!$B$3:$D$8,3,FALSE)</f>
        <v>1</v>
      </c>
      <c r="E12" s="29">
        <f>VLOOKUP(Clebina!$G$2,'uns dados aí'!$I$3:$J$22,2,FALSE)</f>
        <v>2</v>
      </c>
      <c r="F12" s="29">
        <f>IF(Tabela1[[#This Row],[Treinada?]]="sim",VLOOKUP(Clebina!$G$2,'uns dados aí'!$E$2:$F$4,2,TRUE),"")</f>
        <v>2</v>
      </c>
      <c r="G12" s="29"/>
      <c r="H12" s="29"/>
      <c r="I12" s="29"/>
      <c r="J12" s="29">
        <f>SUM(Tabela1[[#This Row],[MOD]:[Bônus Habilidade]])-IF(Tabela1[[#This Row],[Penalidade de Armadura?]]="sim",Clebina!$D$16,0)</f>
        <v>5</v>
      </c>
      <c r="K12" s="29" t="s">
        <v>141</v>
      </c>
      <c r="L12" s="29" t="s">
        <v>140</v>
      </c>
      <c r="M12" s="40" t="s">
        <v>140</v>
      </c>
      <c r="O12" s="38" t="s">
        <v>14</v>
      </c>
      <c r="P12" s="39">
        <f>VLOOKUP(O12,'uns dados aí'!$B$16:$E$22,4,FALSE)</f>
        <v>2</v>
      </c>
    </row>
    <row r="13" ht="17.25" spans="2:16">
      <c r="B13" s="26" t="s">
        <v>157</v>
      </c>
      <c r="C13" s="27" t="s">
        <v>138</v>
      </c>
      <c r="D13" s="27">
        <f>VLOOKUP(C13,Clebina!$B$3:$D$8,3,FALSE)</f>
        <v>2</v>
      </c>
      <c r="E13" s="27">
        <f>VLOOKUP(Clebina!$G$2,'uns dados aí'!$I$3:$J$22,2,FALSE)</f>
        <v>2</v>
      </c>
      <c r="F13" s="27" t="str">
        <f>IF(Tabela1[[#This Row],[Treinada?]]="sim",VLOOKUP(Clebina!$G$2,'uns dados aí'!$E$2:$F$4,2,TRUE),"")</f>
        <v/>
      </c>
      <c r="G13" s="27"/>
      <c r="H13" s="27"/>
      <c r="I13" s="27"/>
      <c r="J13" s="27">
        <f>SUM(Tabela1[[#This Row],[MOD]:[Bônus Habilidade]])-IF(Tabela1[[#This Row],[Penalidade de Armadura?]]="sim",Clebina!$D$16,0)</f>
        <v>2</v>
      </c>
      <c r="K13" s="27" t="s">
        <v>139</v>
      </c>
      <c r="L13" s="27" t="s">
        <v>140</v>
      </c>
      <c r="M13" s="37" t="s">
        <v>141</v>
      </c>
      <c r="O13" s="45" t="s">
        <v>16</v>
      </c>
      <c r="P13" s="46">
        <f>VLOOKUP(O13,'uns dados aí'!$B$16:$E$22,4,FALSE)</f>
        <v>0</v>
      </c>
    </row>
    <row r="14" ht="17.25" spans="2:13">
      <c r="B14" s="28" t="s">
        <v>158</v>
      </c>
      <c r="C14" s="29" t="s">
        <v>150</v>
      </c>
      <c r="D14" s="29">
        <f>VLOOKUP(C14,Clebina!$B$3:$D$8,3,FALSE)</f>
        <v>6</v>
      </c>
      <c r="E14" s="29">
        <f>VLOOKUP(Clebina!$G$2,'uns dados aí'!$I$3:$J$22,2,FALSE)</f>
        <v>2</v>
      </c>
      <c r="F14" s="29">
        <f>IF(Tabela1[[#This Row],[Treinada?]]="sim",VLOOKUP(Clebina!$G$2,'uns dados aí'!$E$2:$F$4,2,TRUE),"")</f>
        <v>2</v>
      </c>
      <c r="G14" s="29"/>
      <c r="H14" s="29"/>
      <c r="I14" s="29"/>
      <c r="J14" s="29">
        <f>SUM(Tabela1[[#This Row],[MOD]:[Bônus Habilidade]])-IF(Tabela1[[#This Row],[Penalidade de Armadura?]]="sim",Clebina!$D$16,0)</f>
        <v>10</v>
      </c>
      <c r="K14" s="29" t="s">
        <v>141</v>
      </c>
      <c r="L14" s="29" t="s">
        <v>141</v>
      </c>
      <c r="M14" s="40" t="s">
        <v>140</v>
      </c>
    </row>
    <row r="15" spans="2:13">
      <c r="B15" s="26" t="s">
        <v>159</v>
      </c>
      <c r="C15" s="27" t="s">
        <v>138</v>
      </c>
      <c r="D15" s="27">
        <f>VLOOKUP(C15,Clebina!$B$3:$D$8,3,FALSE)</f>
        <v>2</v>
      </c>
      <c r="E15" s="27">
        <f>VLOOKUP(Clebina!$G$2,'uns dados aí'!$I$3:$J$22,2,FALSE)</f>
        <v>2</v>
      </c>
      <c r="F15" s="27" t="str">
        <f>IF(Tabela1[[#This Row],[Treinada?]]="sim",VLOOKUP(Clebina!$G$2,'uns dados aí'!$E$2:$F$4,2,TRUE),"")</f>
        <v/>
      </c>
      <c r="G15" s="27"/>
      <c r="H15" s="27"/>
      <c r="I15" s="27"/>
      <c r="J15" s="27">
        <f>SUM(Tabela1[[#This Row],[MOD]:[Bônus Habilidade]])-IF(Tabela1[[#This Row],[Penalidade de Armadura?]]="sim",Clebina!$D$16,0)</f>
        <v>4</v>
      </c>
      <c r="K15" s="27" t="s">
        <v>139</v>
      </c>
      <c r="L15" s="27" t="s">
        <v>140</v>
      </c>
      <c r="M15" s="37" t="s">
        <v>140</v>
      </c>
    </row>
    <row r="16" spans="2:13">
      <c r="B16" s="28" t="s">
        <v>160</v>
      </c>
      <c r="C16" s="29" t="s">
        <v>143</v>
      </c>
      <c r="D16" s="29">
        <f>VLOOKUP(C16,Clebina!$B$3:$D$8,3,FALSE)</f>
        <v>1</v>
      </c>
      <c r="E16" s="29">
        <f>VLOOKUP(Clebina!$G$2,'uns dados aí'!$I$3:$J$22,2,FALSE)</f>
        <v>2</v>
      </c>
      <c r="F16" s="29" t="str">
        <f>IF(Tabela1[[#This Row],[Treinada?]]="sim",VLOOKUP(Clebina!$G$2,'uns dados aí'!$E$2:$F$4,2,TRUE),"")</f>
        <v/>
      </c>
      <c r="G16" s="29"/>
      <c r="H16" s="29"/>
      <c r="I16" s="29"/>
      <c r="J16" s="29">
        <f>SUM(Tabela1[[#This Row],[MOD]:[Bônus Habilidade]])-IF(Tabela1[[#This Row],[Penalidade de Armadura?]]="sim",Clebina!$D$16,0)</f>
        <v>3</v>
      </c>
      <c r="K16" s="29" t="s">
        <v>139</v>
      </c>
      <c r="L16" s="29" t="s">
        <v>140</v>
      </c>
      <c r="M16" s="40" t="s">
        <v>140</v>
      </c>
    </row>
    <row r="17" spans="2:17">
      <c r="B17" s="26" t="s">
        <v>161</v>
      </c>
      <c r="C17" s="27" t="s">
        <v>152</v>
      </c>
      <c r="D17" s="27">
        <f>VLOOKUP(C17,Clebina!$B$3:$D$8,3,FALSE)</f>
        <v>4</v>
      </c>
      <c r="E17" s="27">
        <f>VLOOKUP(Clebina!$G$2,'uns dados aí'!$I$3:$J$22,2,FALSE)</f>
        <v>2</v>
      </c>
      <c r="F17" s="27" t="str">
        <f>IF(Tabela1[[#This Row],[Treinada?]]="sim",VLOOKUP(Clebina!$G$2,'uns dados aí'!$E$2:$F$4,2,TRUE),"")</f>
        <v/>
      </c>
      <c r="G17" s="27"/>
      <c r="H17" s="27"/>
      <c r="I17" s="27"/>
      <c r="J17" s="27">
        <f>SUM(Tabela1[[#This Row],[MOD]:[Bônus Habilidade]])-IF(Tabela1[[#This Row],[Penalidade de Armadura?]]="sim",Clebina!$D$16,0)</f>
        <v>6</v>
      </c>
      <c r="K17" s="27" t="s">
        <v>139</v>
      </c>
      <c r="L17" s="27" t="s">
        <v>140</v>
      </c>
      <c r="M17" s="37" t="s">
        <v>140</v>
      </c>
      <c r="Q17" t="str">
        <f>IF(P17&gt;P18,"passou demais","")</f>
        <v/>
      </c>
    </row>
    <row r="18" spans="2:13">
      <c r="B18" s="28" t="s">
        <v>162</v>
      </c>
      <c r="C18" s="29" t="s">
        <v>150</v>
      </c>
      <c r="D18" s="29">
        <f>VLOOKUP(C18,Clebina!$B$3:$D$8,3,FALSE)</f>
        <v>6</v>
      </c>
      <c r="E18" s="29">
        <f>VLOOKUP(Clebina!$G$2,'uns dados aí'!$I$3:$J$22,2,FALSE)</f>
        <v>2</v>
      </c>
      <c r="F18" s="29">
        <f>IF(Tabela1[[#This Row],[Treinada?]]="sim",VLOOKUP(Clebina!$G$2,'uns dados aí'!$E$2:$F$4,2,TRUE),"")</f>
        <v>2</v>
      </c>
      <c r="G18" s="29"/>
      <c r="H18" s="29"/>
      <c r="I18" s="29"/>
      <c r="J18" s="29">
        <f>SUM(Tabela1[[#This Row],[MOD]:[Bônus Habilidade]])-IF(Tabela1[[#This Row],[Penalidade de Armadura?]]="sim",Clebina!$D$16,0)</f>
        <v>10</v>
      </c>
      <c r="K18" s="29" t="s">
        <v>141</v>
      </c>
      <c r="L18" s="29" t="s">
        <v>140</v>
      </c>
      <c r="M18" s="40" t="s">
        <v>140</v>
      </c>
    </row>
    <row r="19" spans="2:13">
      <c r="B19" s="26" t="s">
        <v>163</v>
      </c>
      <c r="C19" s="27" t="s">
        <v>143</v>
      </c>
      <c r="D19" s="27">
        <f>VLOOKUP(C19,Clebina!$B$3:$D$8,3,FALSE)</f>
        <v>1</v>
      </c>
      <c r="E19" s="27">
        <f>VLOOKUP(Clebina!$G$2,'uns dados aí'!$I$3:$J$22,2,FALSE)</f>
        <v>2</v>
      </c>
      <c r="F19" s="27" t="str">
        <f>IF(Tabela1[[#This Row],[Treinada?]]="sim",VLOOKUP(Clebina!$G$2,'uns dados aí'!$E$2:$F$4,2,TRUE),"")</f>
        <v/>
      </c>
      <c r="G19" s="27"/>
      <c r="H19" s="27"/>
      <c r="I19" s="27"/>
      <c r="J19" s="27">
        <f>SUM(Tabela1[[#This Row],[MOD]:[Bônus Habilidade]])-IF(Tabela1[[#This Row],[Penalidade de Armadura?]]="sim",Clebina!$D$16,0)</f>
        <v>3</v>
      </c>
      <c r="K19" s="27" t="s">
        <v>139</v>
      </c>
      <c r="L19" s="27" t="s">
        <v>141</v>
      </c>
      <c r="M19" s="37" t="s">
        <v>140</v>
      </c>
    </row>
    <row r="20" spans="2:13">
      <c r="B20" s="28" t="s">
        <v>164</v>
      </c>
      <c r="C20" s="29" t="s">
        <v>138</v>
      </c>
      <c r="D20" s="29">
        <f>VLOOKUP(C20,Clebina!$B$3:$D$8,3,FALSE)</f>
        <v>2</v>
      </c>
      <c r="E20" s="29">
        <f>VLOOKUP(Clebina!$G$2,'uns dados aí'!$I$3:$J$22,2,FALSE)</f>
        <v>2</v>
      </c>
      <c r="F20" s="29" t="str">
        <f>IF(Tabela1[[#This Row],[Treinada?]]="sim",VLOOKUP(Clebina!$G$2,'uns dados aí'!$E$2:$F$4,2,TRUE),"")</f>
        <v/>
      </c>
      <c r="G20" s="29"/>
      <c r="H20" s="29"/>
      <c r="I20" s="29"/>
      <c r="J20" s="29">
        <f>SUM(Tabela1[[#This Row],[MOD]:[Bônus Habilidade]])-IF(Tabela1[[#This Row],[Penalidade de Armadura?]]="sim",Clebina!$D$16,0)</f>
        <v>2</v>
      </c>
      <c r="K20" s="29" t="s">
        <v>139</v>
      </c>
      <c r="L20" s="29" t="s">
        <v>141</v>
      </c>
      <c r="M20" s="40" t="s">
        <v>141</v>
      </c>
    </row>
    <row r="21" spans="2:13">
      <c r="B21" s="26" t="s">
        <v>80</v>
      </c>
      <c r="C21" s="27" t="s">
        <v>145</v>
      </c>
      <c r="D21" s="27">
        <f>VLOOKUP(C21,Clebina!$B$3:$D$8,3,FALSE)</f>
        <v>3</v>
      </c>
      <c r="E21" s="27">
        <f>VLOOKUP(Clebina!$G$2,'uns dados aí'!$I$3:$J$22,2,FALSE)</f>
        <v>2</v>
      </c>
      <c r="F21" s="27">
        <f>IF(Tabela1[[#This Row],[Treinada?]]="sim",VLOOKUP(Clebina!$G$2,'uns dados aí'!$E$2:$F$4,2,TRUE),"")</f>
        <v>2</v>
      </c>
      <c r="G21" s="27"/>
      <c r="H21" s="27"/>
      <c r="I21" s="27"/>
      <c r="J21" s="27">
        <f>SUM(Tabela1[[#This Row],[MOD]:[Bônus Habilidade]])-IF(Tabela1[[#This Row],[Penalidade de Armadura?]]="sim",Clebina!$D$16,0)</f>
        <v>7</v>
      </c>
      <c r="K21" s="27" t="s">
        <v>141</v>
      </c>
      <c r="L21" s="27" t="s">
        <v>140</v>
      </c>
      <c r="M21" s="37" t="s">
        <v>140</v>
      </c>
    </row>
    <row r="22" spans="2:13">
      <c r="B22" s="28" t="s">
        <v>165</v>
      </c>
      <c r="C22" s="29" t="s">
        <v>150</v>
      </c>
      <c r="D22" s="29">
        <f>VLOOKUP(C22,Clebina!$B$3:$D$8,3,FALSE)</f>
        <v>6</v>
      </c>
      <c r="E22" s="29">
        <f>VLOOKUP(Clebina!$G$2,'uns dados aí'!$I$3:$J$22,2,FALSE)</f>
        <v>2</v>
      </c>
      <c r="F22" s="29">
        <f>IF(Tabela1[[#This Row],[Treinada?]]="sim",VLOOKUP(Clebina!$G$2,'uns dados aí'!$E$2:$F$4,2,TRUE),"")</f>
        <v>2</v>
      </c>
      <c r="G22" s="29">
        <v>2</v>
      </c>
      <c r="H22" s="29"/>
      <c r="I22" s="29"/>
      <c r="J22" s="29">
        <f>SUM(Tabela1[[#This Row],[MOD]:[Bônus Habilidade]])-IF(Tabela1[[#This Row],[Penalidade de Armadura?]]="sim",Clebina!$D$16,0)</f>
        <v>12</v>
      </c>
      <c r="K22" s="29" t="s">
        <v>141</v>
      </c>
      <c r="L22" s="29" t="s">
        <v>141</v>
      </c>
      <c r="M22" s="40" t="s">
        <v>140</v>
      </c>
    </row>
    <row r="23" spans="2:13">
      <c r="B23" s="26" t="s">
        <v>166</v>
      </c>
      <c r="C23" s="27" t="s">
        <v>150</v>
      </c>
      <c r="D23" s="27">
        <f>VLOOKUP(C23,Clebina!$B$3:$D$8,3,FALSE)</f>
        <v>6</v>
      </c>
      <c r="E23" s="27">
        <f>VLOOKUP(Clebina!$G$2,'uns dados aí'!$I$3:$J$22,2,FALSE)</f>
        <v>2</v>
      </c>
      <c r="F23" s="27" t="str">
        <f>IF(Tabela1[[#This Row],[Treinada?]]="sim",VLOOKUP(Clebina!$G$2,'uns dados aí'!$E$2:$F$4,2,TRUE),"")</f>
        <v/>
      </c>
      <c r="G23" s="27"/>
      <c r="H23" s="27"/>
      <c r="I23" s="27"/>
      <c r="J23" s="27">
        <f>SUM(Tabela1[[#This Row],[MOD]:[Bônus Habilidade]])-IF(Tabela1[[#This Row],[Penalidade de Armadura?]]="sim",Clebina!$D$16,0)</f>
        <v>8</v>
      </c>
      <c r="K23" s="27" t="s">
        <v>139</v>
      </c>
      <c r="L23" s="27" t="s">
        <v>141</v>
      </c>
      <c r="M23" s="37" t="s">
        <v>140</v>
      </c>
    </row>
    <row r="24" spans="2:13">
      <c r="B24" s="28" t="s">
        <v>167</v>
      </c>
      <c r="C24" s="29" t="s">
        <v>150</v>
      </c>
      <c r="D24" s="29">
        <f>VLOOKUP(C24,Clebina!$B$3:$D$8,3,FALSE)</f>
        <v>6</v>
      </c>
      <c r="E24" s="29">
        <f>VLOOKUP(Clebina!$G$2,'uns dados aí'!$I$3:$J$22,2,FALSE)</f>
        <v>2</v>
      </c>
      <c r="F24" s="29">
        <f>IF(Tabela1[[#This Row],[Treinada?]]="sim",VLOOKUP(Clebina!$G$2,'uns dados aí'!$E$2:$F$4,2,TRUE),"")</f>
        <v>2</v>
      </c>
      <c r="G24" s="29"/>
      <c r="H24" s="29"/>
      <c r="I24" s="29"/>
      <c r="J24" s="29">
        <f>SUM(Tabela1[[#This Row],[MOD]:[Bônus Habilidade]])-IF(Tabela1[[#This Row],[Penalidade de Armadura?]]="sim",Clebina!$D$16,0)</f>
        <v>10</v>
      </c>
      <c r="K24" s="29" t="s">
        <v>141</v>
      </c>
      <c r="L24" s="29" t="s">
        <v>141</v>
      </c>
      <c r="M24" s="40" t="s">
        <v>140</v>
      </c>
    </row>
    <row r="25" spans="2:13">
      <c r="B25" s="26" t="s">
        <v>168</v>
      </c>
      <c r="C25" s="27" t="s">
        <v>150</v>
      </c>
      <c r="D25" s="27">
        <f>VLOOKUP(C25,Clebina!$B$3:$D$8,3,FALSE)</f>
        <v>6</v>
      </c>
      <c r="E25" s="27">
        <f>VLOOKUP(Clebina!$G$2,'uns dados aí'!$I$3:$J$22,2,FALSE)</f>
        <v>2</v>
      </c>
      <c r="F25" s="27">
        <f>IF(Tabela1[[#This Row],[Treinada?]]="sim",VLOOKUP(Clebina!$G$2,'uns dados aí'!$E$2:$F$4,2,TRUE),"")</f>
        <v>2</v>
      </c>
      <c r="G25" s="27"/>
      <c r="H25" s="27"/>
      <c r="I25" s="27"/>
      <c r="J25" s="27">
        <f>SUM(Tabela1[[#This Row],[MOD]:[Bônus Habilidade]])-IF(Tabela1[[#This Row],[Penalidade de Armadura?]]="sim",Clebina!$D$16,0)</f>
        <v>10</v>
      </c>
      <c r="K25" s="27" t="s">
        <v>141</v>
      </c>
      <c r="L25" s="27" t="s">
        <v>141</v>
      </c>
      <c r="M25" s="37" t="s">
        <v>140</v>
      </c>
    </row>
    <row r="26" spans="2:13">
      <c r="B26" s="30" t="s">
        <v>169</v>
      </c>
      <c r="C26" s="29" t="s">
        <v>150</v>
      </c>
      <c r="D26" s="29">
        <f>VLOOKUP(C26,Clebina!$B$3:$D$8,3,FALSE)</f>
        <v>6</v>
      </c>
      <c r="E26" s="29">
        <f>VLOOKUP(Clebina!$G$2,'uns dados aí'!$I$3:$J$22,2,FALSE)</f>
        <v>2</v>
      </c>
      <c r="F26" s="29">
        <f>IF(Tabela1[[#This Row],[Treinada?]]="sim",VLOOKUP(Clebina!$G$2,'uns dados aí'!$E$2:$F$4,2,TRUE),"")</f>
        <v>2</v>
      </c>
      <c r="G26" s="29"/>
      <c r="H26" s="29"/>
      <c r="I26" s="29"/>
      <c r="J26" s="29">
        <f>SUM(Tabela1[[#This Row],[MOD]:[Bônus Habilidade]])-IF(Tabela1[[#This Row],[Penalidade de Armadura?]]="sim",Clebina!$D$16,0)</f>
        <v>10</v>
      </c>
      <c r="K26" s="29" t="s">
        <v>141</v>
      </c>
      <c r="L26" s="29" t="s">
        <v>141</v>
      </c>
      <c r="M26" s="40" t="s">
        <v>140</v>
      </c>
    </row>
    <row r="27" spans="2:13">
      <c r="B27" s="26" t="s">
        <v>170</v>
      </c>
      <c r="C27" s="27" t="s">
        <v>152</v>
      </c>
      <c r="D27" s="27">
        <f>VLOOKUP(C27,Clebina!$B$3:$D$8,3,FALSE)</f>
        <v>4</v>
      </c>
      <c r="E27" s="27">
        <f>VLOOKUP(Clebina!$G$2,'uns dados aí'!$I$3:$J$22,2,FALSE)</f>
        <v>2</v>
      </c>
      <c r="F27" s="27">
        <f>IF(Tabela1[[#This Row],[Treinada?]]="sim",VLOOKUP(Clebina!$G$2,'uns dados aí'!$E$2:$F$4,2,TRUE),"")</f>
        <v>2</v>
      </c>
      <c r="G27" s="27">
        <v>2</v>
      </c>
      <c r="H27" s="27"/>
      <c r="I27" s="27"/>
      <c r="J27" s="27">
        <f>SUM(Tabela1[[#This Row],[MOD]:[Bônus Habilidade]])-IF(Tabela1[[#This Row],[Penalidade de Armadura?]]="sim",Clebina!$D$16,0)</f>
        <v>10</v>
      </c>
      <c r="K27" s="27" t="s">
        <v>141</v>
      </c>
      <c r="L27" s="27" t="s">
        <v>140</v>
      </c>
      <c r="M27" s="37" t="s">
        <v>140</v>
      </c>
    </row>
    <row r="28" spans="2:13">
      <c r="B28" s="28" t="s">
        <v>171</v>
      </c>
      <c r="C28" s="29" t="s">
        <v>138</v>
      </c>
      <c r="D28" s="29">
        <f>VLOOKUP(C28,Clebina!$B$3:$D$8,3,FALSE)</f>
        <v>2</v>
      </c>
      <c r="E28" s="29">
        <f>VLOOKUP(Clebina!$G$2,'uns dados aí'!$I$3:$J$22,2,FALSE)</f>
        <v>2</v>
      </c>
      <c r="F28" s="29" t="str">
        <f>IF(Tabela1[[#This Row],[Treinada?]]="sim",VLOOKUP(Clebina!$G$2,'uns dados aí'!$E$2:$F$4,2,TRUE),"")</f>
        <v/>
      </c>
      <c r="G28" s="29"/>
      <c r="H28" s="29"/>
      <c r="I28" s="29"/>
      <c r="J28" s="29">
        <f>SUM(Tabela1[[#This Row],[MOD]:[Bônus Habilidade]])-IF(Tabela1[[#This Row],[Penalidade de Armadura?]]="sim",Clebina!$D$16,0)</f>
        <v>4</v>
      </c>
      <c r="K28" s="29" t="s">
        <v>139</v>
      </c>
      <c r="L28" s="29" t="s">
        <v>141</v>
      </c>
      <c r="M28" s="40" t="s">
        <v>140</v>
      </c>
    </row>
    <row r="29" spans="2:13">
      <c r="B29" s="26" t="s">
        <v>172</v>
      </c>
      <c r="C29" s="27" t="s">
        <v>138</v>
      </c>
      <c r="D29" s="27">
        <f>VLOOKUP(C29,Clebina!$B$3:$D$8,3,FALSE)</f>
        <v>2</v>
      </c>
      <c r="E29" s="27">
        <f>VLOOKUP(Clebina!$G$2,'uns dados aí'!$I$3:$J$22,2,FALSE)</f>
        <v>2</v>
      </c>
      <c r="F29" s="27" t="str">
        <f>IF(Tabela1[[#This Row],[Treinada?]]="sim",VLOOKUP(Clebina!$G$2,'uns dados aí'!$E$2:$F$4,2,TRUE),"")</f>
        <v/>
      </c>
      <c r="G29" s="27"/>
      <c r="H29" s="27"/>
      <c r="I29" s="27"/>
      <c r="J29" s="27">
        <f>SUM(Tabela1[[#This Row],[MOD]:[Bônus Habilidade]])-IF(Tabela1[[#This Row],[Penalidade de Armadura?]]="sim",Clebina!$D$16,0)</f>
        <v>4</v>
      </c>
      <c r="K29" s="27" t="s">
        <v>139</v>
      </c>
      <c r="L29" s="27" t="s">
        <v>140</v>
      </c>
      <c r="M29" s="37" t="s">
        <v>140</v>
      </c>
    </row>
    <row r="30" spans="2:13">
      <c r="B30" s="28" t="s">
        <v>173</v>
      </c>
      <c r="C30" s="29" t="s">
        <v>138</v>
      </c>
      <c r="D30" s="29">
        <f>VLOOKUP(C30,Clebina!$B$3:$D$8,3,FALSE)</f>
        <v>2</v>
      </c>
      <c r="E30" s="29">
        <f>VLOOKUP(Clebina!$G$2,'uns dados aí'!$I$3:$J$22,2,FALSE)</f>
        <v>2</v>
      </c>
      <c r="F30" s="29">
        <f>IF(Tabela1[[#This Row],[Treinada?]]="sim",VLOOKUP(Clebina!$G$2,'uns dados aí'!$E$2:$F$4,2,TRUE),"")</f>
        <v>2</v>
      </c>
      <c r="G30" s="29"/>
      <c r="H30" s="29"/>
      <c r="I30" s="29"/>
      <c r="J30" s="29">
        <f>SUM(Tabela1[[#This Row],[MOD]:[Bônus Habilidade]])-IF(Tabela1[[#This Row],[Penalidade de Armadura?]]="sim",Clebina!$D$16,0)</f>
        <v>6</v>
      </c>
      <c r="K30" s="29" t="s">
        <v>141</v>
      </c>
      <c r="L30" s="29" t="s">
        <v>140</v>
      </c>
      <c r="M30" s="40" t="s">
        <v>140</v>
      </c>
    </row>
    <row r="31" spans="2:13">
      <c r="B31" s="26" t="s">
        <v>174</v>
      </c>
      <c r="C31" s="27" t="s">
        <v>152</v>
      </c>
      <c r="D31" s="27">
        <f>VLOOKUP(C31,Clebina!$B$3:$D$8,3,FALSE)</f>
        <v>4</v>
      </c>
      <c r="E31" s="27">
        <f>VLOOKUP(Clebina!$G$2,'uns dados aí'!$I$3:$J$22,2,FALSE)</f>
        <v>2</v>
      </c>
      <c r="F31" s="27" t="str">
        <f>IF(Tabela1[[#This Row],[Treinada?]]="sim",VLOOKUP(Clebina!$G$2,'uns dados aí'!$E$2:$F$4,2,TRUE),"")</f>
        <v/>
      </c>
      <c r="G31" s="27"/>
      <c r="H31" s="27"/>
      <c r="I31" s="27"/>
      <c r="J31" s="27">
        <f>SUM(Tabela1[[#This Row],[MOD]:[Bônus Habilidade]])-IF(Tabela1[[#This Row],[Penalidade de Armadura?]]="sim",Clebina!$D$16,0)</f>
        <v>6</v>
      </c>
      <c r="K31" s="27" t="s">
        <v>139</v>
      </c>
      <c r="L31" s="27" t="s">
        <v>141</v>
      </c>
      <c r="M31" s="37" t="s">
        <v>140</v>
      </c>
    </row>
    <row r="32" spans="2:13">
      <c r="B32" s="28" t="s">
        <v>175</v>
      </c>
      <c r="C32" s="29" t="s">
        <v>152</v>
      </c>
      <c r="D32" s="29">
        <f>VLOOKUP(C32,Clebina!$B$3:$D$8,3,FALSE)</f>
        <v>4</v>
      </c>
      <c r="E32" s="29">
        <f>VLOOKUP(Clebina!$G$2,'uns dados aí'!$I$3:$J$22,2,FALSE)</f>
        <v>2</v>
      </c>
      <c r="F32" s="29" t="str">
        <f>IF(Tabela1[[#This Row],[Treinada?]]="sim",VLOOKUP(Clebina!$G$2,'uns dados aí'!$E$2:$F$4,2,TRUE),"")</f>
        <v/>
      </c>
      <c r="G32" s="29"/>
      <c r="H32" s="29"/>
      <c r="I32" s="29"/>
      <c r="J32" s="29">
        <f>SUM(Tabela1[[#This Row],[MOD]:[Bônus Habilidade]])-IF(Tabela1[[#This Row],[Penalidade de Armadura?]]="sim",Clebina!$D$16,0)</f>
        <v>6</v>
      </c>
      <c r="K32" s="29" t="s">
        <v>139</v>
      </c>
      <c r="L32" s="29" t="s">
        <v>140</v>
      </c>
      <c r="M32" s="40" t="s">
        <v>140</v>
      </c>
    </row>
    <row r="33" spans="2:13">
      <c r="B33" s="31" t="s">
        <v>176</v>
      </c>
      <c r="C33" s="32" t="s">
        <v>152</v>
      </c>
      <c r="D33" s="32">
        <f>VLOOKUP(C33,Clebina!$B$3:$D$8,3,FALSE)</f>
        <v>4</v>
      </c>
      <c r="E33" s="32">
        <f>VLOOKUP(Clebina!$G$2,'uns dados aí'!$I$3:$J$22,2,FALSE)</f>
        <v>2</v>
      </c>
      <c r="F33" s="32">
        <f>IF(Tabela1[[#This Row],[Treinada?]]="sim",VLOOKUP(Clebina!$G$2,'uns dados aí'!$E$2:$F$4,2,TRUE),"")</f>
        <v>2</v>
      </c>
      <c r="G33" s="32"/>
      <c r="H33" s="32"/>
      <c r="I33" s="32"/>
      <c r="J33" s="32">
        <f>SUM(Tabela1[[#This Row],[MOD]:[Bônus Habilidade]])-IF(Tabela1[[#This Row],[Penalidade de Armadura?]]="sim",Clebina!$D$16,0)</f>
        <v>8</v>
      </c>
      <c r="K33" s="32" t="s">
        <v>141</v>
      </c>
      <c r="L33" s="32" t="s">
        <v>140</v>
      </c>
      <c r="M33" s="47" t="s">
        <v>140</v>
      </c>
    </row>
  </sheetData>
  <mergeCells count="2">
    <mergeCell ref="O2:P2"/>
    <mergeCell ref="O7:P7"/>
  </mergeCells>
  <pageMargins left="0.511811024" right="0.511811024" top="0.787401575" bottom="0.787401575" header="0.31496062" footer="0.31496062"/>
  <pageSetup paperSize="9" orientation="portrait"/>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33"/>
  <sheetViews>
    <sheetView workbookViewId="0">
      <selection activeCell="O24" sqref="O24"/>
    </sheetView>
  </sheetViews>
  <sheetFormatPr defaultColWidth="9" defaultRowHeight="16.5"/>
  <cols>
    <col min="2" max="2" width="22" customWidth="1"/>
    <col min="3" max="3" width="9.56888888888889" customWidth="1"/>
    <col min="4" max="4" width="10.5688888888889" customWidth="1"/>
    <col min="5" max="5" width="13.2844444444444" customWidth="1"/>
    <col min="6" max="7" width="11.4266666666667" customWidth="1"/>
    <col min="8" max="8" width="11.1422222222222" customWidth="1"/>
    <col min="9" max="9" width="21.4266666666667" customWidth="1"/>
    <col min="10" max="10" width="10.1422222222222" customWidth="1"/>
    <col min="11" max="11" width="13.8533333333333" customWidth="1"/>
    <col min="12" max="12" width="21.4266666666667" customWidth="1"/>
    <col min="13" max="13" width="26.7111111111111" customWidth="1"/>
    <col min="14" max="14" width="9.85333333333333" customWidth="1"/>
    <col min="15" max="15" width="12.5688888888889" customWidth="1"/>
  </cols>
  <sheetData>
    <row r="1" ht="17.25"/>
    <row r="2" ht="15" customHeight="1" spans="2:16">
      <c r="B2" s="24" t="s">
        <v>128</v>
      </c>
      <c r="C2" s="25" t="s">
        <v>129</v>
      </c>
      <c r="D2" s="25" t="s">
        <v>1</v>
      </c>
      <c r="E2" s="25" t="s">
        <v>130</v>
      </c>
      <c r="F2" s="25" t="s">
        <v>131</v>
      </c>
      <c r="G2" s="25" t="s">
        <v>41</v>
      </c>
      <c r="H2" s="25" t="s">
        <v>24</v>
      </c>
      <c r="I2" s="25" t="s">
        <v>132</v>
      </c>
      <c r="J2" s="25" t="s">
        <v>79</v>
      </c>
      <c r="K2" s="33" t="s">
        <v>133</v>
      </c>
      <c r="L2" s="33" t="s">
        <v>134</v>
      </c>
      <c r="M2" s="34" t="s">
        <v>135</v>
      </c>
      <c r="O2" s="35" t="s">
        <v>136</v>
      </c>
      <c r="P2" s="36"/>
    </row>
    <row r="3" spans="2:16">
      <c r="B3" s="26" t="s">
        <v>137</v>
      </c>
      <c r="C3" s="27" t="s">
        <v>138</v>
      </c>
      <c r="D3" s="27">
        <f>VLOOKUP(C3,Clebina!$B$3:$D$8,3,FALSE)</f>
        <v>2</v>
      </c>
      <c r="E3" s="27">
        <f>VLOOKUP(Clebina!$G$2,'uns dados aí'!$I$3:$J$22,2,FALSE)</f>
        <v>2</v>
      </c>
      <c r="F3" s="27" t="str">
        <f>IF(Tabela14[[#This Row],[Treinada?]]="sim",VLOOKUP(Clebina!$G$2,'uns dados aí'!$E$2:$F$4,2,TRUE),"")</f>
        <v/>
      </c>
      <c r="G3" s="27"/>
      <c r="H3" s="27"/>
      <c r="I3" s="27"/>
      <c r="J3" s="27">
        <f>SUM(Tabela14[[#This Row],[MOD]:[Bônus Habilidade]])-IF(Tabela14[[#This Row],[Penalidade de Armadura?]]="sim",Clebina!D16,0)</f>
        <v>2</v>
      </c>
      <c r="K3" s="27" t="s">
        <v>139</v>
      </c>
      <c r="L3" s="27" t="s">
        <v>140</v>
      </c>
      <c r="M3" s="37" t="s">
        <v>141</v>
      </c>
      <c r="O3" s="38" t="s">
        <v>34</v>
      </c>
      <c r="P3" s="39">
        <v>2</v>
      </c>
    </row>
    <row r="4" spans="2:16">
      <c r="B4" s="28" t="s">
        <v>142</v>
      </c>
      <c r="C4" s="29" t="s">
        <v>143</v>
      </c>
      <c r="D4" s="29">
        <f>VLOOKUP(C4,Clebina!$B$3:$D$8,3,FALSE)</f>
        <v>1</v>
      </c>
      <c r="E4" s="29">
        <f>VLOOKUP(Clebina!$G$2,'uns dados aí'!$I$3:$J$22,2,FALSE)</f>
        <v>2</v>
      </c>
      <c r="F4" s="29" t="str">
        <f>IF(Tabela14[[#This Row],[Treinada?]]="sim",VLOOKUP(Clebina!$G$2,'uns dados aí'!$E$2:$F$4,2,TRUE),"")</f>
        <v/>
      </c>
      <c r="G4" s="29"/>
      <c r="H4" s="29"/>
      <c r="I4" s="29"/>
      <c r="J4" s="29">
        <f>SUM(Tabela14[[#This Row],[MOD]:[Bônus Habilidade]])-IF(Tabela14[[#This Row],[Penalidade de Armadura?]]="sim",Clebina!D17,0)</f>
        <v>3</v>
      </c>
      <c r="K4" s="29" t="s">
        <v>139</v>
      </c>
      <c r="L4" s="29" t="s">
        <v>141</v>
      </c>
      <c r="M4" s="40" t="s">
        <v>140</v>
      </c>
      <c r="O4" s="41" t="s">
        <v>57</v>
      </c>
      <c r="P4" s="42">
        <v>4</v>
      </c>
    </row>
    <row r="5" ht="17.25" spans="2:16">
      <c r="B5" s="26" t="s">
        <v>144</v>
      </c>
      <c r="C5" s="27" t="s">
        <v>145</v>
      </c>
      <c r="D5" s="27">
        <f>VLOOKUP(C5,Clebina!$B$3:$D$8,3,FALSE)</f>
        <v>3</v>
      </c>
      <c r="E5" s="27">
        <f>VLOOKUP(Clebina!$G$2,'uns dados aí'!$I$3:$J$22,2,FALSE)</f>
        <v>2</v>
      </c>
      <c r="F5" s="27" t="str">
        <f>IF(Tabela14[[#This Row],[Treinada?]]="sim",VLOOKUP(Clebina!$G$2,'uns dados aí'!$E$2:$F$4,2,TRUE),"")</f>
        <v/>
      </c>
      <c r="G5" s="27"/>
      <c r="H5" s="27"/>
      <c r="I5" s="27"/>
      <c r="J5" s="27">
        <f>SUM(Tabela14[[#This Row],[MOD]:[Bônus Habilidade]])-IF(Tabela14[[#This Row],[Penalidade de Armadura?]]="sim",Poderes!C1,0)</f>
        <v>5</v>
      </c>
      <c r="K5" s="27" t="s">
        <v>139</v>
      </c>
      <c r="L5" s="27" t="s">
        <v>140</v>
      </c>
      <c r="M5" s="37" t="s">
        <v>140</v>
      </c>
      <c r="O5" s="43" t="s">
        <v>71</v>
      </c>
      <c r="P5" s="44">
        <v>6</v>
      </c>
    </row>
    <row r="6" ht="18" spans="2:13">
      <c r="B6" s="28" t="s">
        <v>146</v>
      </c>
      <c r="C6" s="29" t="s">
        <v>143</v>
      </c>
      <c r="D6" s="29">
        <f>VLOOKUP(C6,Clebina!$B$3:$D$8,3,FALSE)</f>
        <v>1</v>
      </c>
      <c r="E6" s="29">
        <f>VLOOKUP(Clebina!$G$2,'uns dados aí'!$I$3:$J$22,2,FALSE)</f>
        <v>2</v>
      </c>
      <c r="F6" s="29" t="str">
        <f>IF(Tabela14[[#This Row],[Treinada?]]="sim",VLOOKUP(Clebina!$G$2,'uns dados aí'!$E$2:$F$4,2,TRUE),"")</f>
        <v/>
      </c>
      <c r="G6" s="29"/>
      <c r="H6" s="29"/>
      <c r="I6" s="29"/>
      <c r="J6" s="29">
        <f>SUM(Tabela14[[#This Row],[MOD]:[Bônus Habilidade]])-IF(Tabela14[[#This Row],[Penalidade de Armadura?]]="sim",Poderes!C2,0)</f>
        <v>3</v>
      </c>
      <c r="K6" s="29" t="s">
        <v>139</v>
      </c>
      <c r="L6" s="29" t="s">
        <v>140</v>
      </c>
      <c r="M6" s="40" t="s">
        <v>140</v>
      </c>
    </row>
    <row r="7" ht="15.75" customHeight="1" spans="2:16">
      <c r="B7" s="26" t="s">
        <v>147</v>
      </c>
      <c r="C7" s="27" t="s">
        <v>138</v>
      </c>
      <c r="D7" s="27">
        <f>VLOOKUP(C7,Clebina!$B$3:$D$8,3,FALSE)</f>
        <v>2</v>
      </c>
      <c r="E7" s="27">
        <f>VLOOKUP(Clebina!$G$2,'uns dados aí'!$I$3:$J$22,2,FALSE)</f>
        <v>2</v>
      </c>
      <c r="F7" s="27" t="str">
        <f>IF(Tabela14[[#This Row],[Treinada?]]="sim",VLOOKUP(Clebina!$G$2,'uns dados aí'!$E$2:$F$4,2,TRUE),"")</f>
        <v/>
      </c>
      <c r="G7" s="27"/>
      <c r="H7" s="27"/>
      <c r="I7" s="27"/>
      <c r="J7" s="27">
        <f>SUM(Tabela14[[#This Row],[MOD]:[Bônus Habilidade]])-IF(Tabela14[[#This Row],[Penalidade de Armadura?]]="sim",Poderes!C3,0)</f>
        <v>4</v>
      </c>
      <c r="K7" s="27" t="s">
        <v>139</v>
      </c>
      <c r="L7" s="27" t="s">
        <v>140</v>
      </c>
      <c r="M7" s="37" t="s">
        <v>140</v>
      </c>
      <c r="O7" s="35" t="s">
        <v>148</v>
      </c>
      <c r="P7" s="36"/>
    </row>
    <row r="8" ht="15" customHeight="1" spans="2:16">
      <c r="B8" s="28" t="s">
        <v>149</v>
      </c>
      <c r="C8" s="29" t="s">
        <v>150</v>
      </c>
      <c r="D8" s="29">
        <f>VLOOKUP(C8,Clebina!$B$3:$D$8,3,FALSE)</f>
        <v>6</v>
      </c>
      <c r="E8" s="29">
        <f>VLOOKUP(Clebina!$G$2,'uns dados aí'!$I$3:$J$22,2,FALSE)</f>
        <v>2</v>
      </c>
      <c r="F8" s="29">
        <f>IF(Tabela14[[#This Row],[Treinada?]]="sim",VLOOKUP(Clebina!$G$2,'uns dados aí'!$E$2:$F$4,2,TRUE),"")</f>
        <v>2</v>
      </c>
      <c r="G8" s="29"/>
      <c r="H8" s="29"/>
      <c r="I8" s="29"/>
      <c r="J8" s="29">
        <f>SUM(Tabela14[[#This Row],[MOD]:[Bônus Habilidade]])-IF(Tabela14[[#This Row],[Penalidade de Armadura?]]="sim",Poderes!C4,0)</f>
        <v>10</v>
      </c>
      <c r="K8" s="29" t="s">
        <v>141</v>
      </c>
      <c r="L8" s="29" t="s">
        <v>141</v>
      </c>
      <c r="M8" s="40" t="s">
        <v>140</v>
      </c>
      <c r="O8" s="38" t="s">
        <v>4</v>
      </c>
      <c r="P8" s="39">
        <f>VLOOKUP(O8,'uns dados aí'!$B$16:$E$22,4,FALSE)</f>
        <v>0</v>
      </c>
    </row>
    <row r="9" spans="2:16">
      <c r="B9" s="26" t="s">
        <v>151</v>
      </c>
      <c r="C9" s="27" t="s">
        <v>152</v>
      </c>
      <c r="D9" s="27">
        <f>VLOOKUP(C9,Clebina!$B$3:$D$8,3,FALSE)</f>
        <v>4</v>
      </c>
      <c r="E9" s="27">
        <f>VLOOKUP(Clebina!$G$2,'uns dados aí'!$I$3:$J$22,2,FALSE)</f>
        <v>2</v>
      </c>
      <c r="F9" s="27">
        <f>IF(Tabela14[[#This Row],[Treinada?]]="sim",VLOOKUP(Clebina!$G$2,'uns dados aí'!$E$2:$F$4,2,TRUE),"")</f>
        <v>2</v>
      </c>
      <c r="G9" s="27"/>
      <c r="H9" s="27"/>
      <c r="I9" s="27"/>
      <c r="J9" s="27">
        <f>SUM(Tabela14[[#This Row],[MOD]:[Bônus Habilidade]])-IF(Tabela14[[#This Row],[Penalidade de Armadura?]]="sim",Poderes!C5,0)</f>
        <v>8</v>
      </c>
      <c r="K9" s="27" t="s">
        <v>141</v>
      </c>
      <c r="L9" s="27" t="s">
        <v>140</v>
      </c>
      <c r="M9" s="37" t="s">
        <v>140</v>
      </c>
      <c r="O9" s="41" t="s">
        <v>9</v>
      </c>
      <c r="P9" s="42">
        <f>VLOOKUP(O9,'uns dados aí'!$B$16:$E$22,4,FALSE)</f>
        <v>2</v>
      </c>
    </row>
    <row r="10" spans="2:16">
      <c r="B10" s="28" t="s">
        <v>153</v>
      </c>
      <c r="C10" s="29" t="s">
        <v>143</v>
      </c>
      <c r="D10" s="29">
        <f>VLOOKUP(C10,Clebina!$B$3:$D$8,3,FALSE)</f>
        <v>1</v>
      </c>
      <c r="E10" s="29">
        <f>VLOOKUP(Clebina!$G$2,'uns dados aí'!$I$3:$J$22,2,FALSE)</f>
        <v>2</v>
      </c>
      <c r="F10" s="29" t="str">
        <f>IF(Tabela14[[#This Row],[Treinada?]]="sim",VLOOKUP(Clebina!$G$2,'uns dados aí'!$E$2:$F$4,2,TRUE),"")</f>
        <v/>
      </c>
      <c r="G10" s="29"/>
      <c r="H10" s="29"/>
      <c r="I10" s="29"/>
      <c r="J10" s="29">
        <f>SUM(Tabela14[[#This Row],[MOD]:[Bônus Habilidade]])-IF(Tabela14[[#This Row],[Penalidade de Armadura?]]="sim",Poderes!C6,0)</f>
        <v>3</v>
      </c>
      <c r="K10" s="29" t="s">
        <v>139</v>
      </c>
      <c r="L10" s="29" t="s">
        <v>140</v>
      </c>
      <c r="M10" s="40" t="s">
        <v>140</v>
      </c>
      <c r="O10" s="38" t="s">
        <v>10</v>
      </c>
      <c r="P10" s="39">
        <f>VLOOKUP(O10,'uns dados aí'!$B$16:$E$22,4,FALSE)</f>
        <v>-2</v>
      </c>
    </row>
    <row r="11" spans="2:16">
      <c r="B11" s="26" t="s">
        <v>154</v>
      </c>
      <c r="C11" s="27" t="s">
        <v>143</v>
      </c>
      <c r="D11" s="27">
        <f>VLOOKUP(C11,Clebina!$B$3:$D$8,3,FALSE)</f>
        <v>1</v>
      </c>
      <c r="E11" s="27">
        <f>VLOOKUP(Clebina!$G$2,'uns dados aí'!$I$3:$J$22,2,FALSE)</f>
        <v>2</v>
      </c>
      <c r="F11" s="27" t="str">
        <f>IF(Tabela14[[#This Row],[Treinada?]]="sim",VLOOKUP(Clebina!$G$2,'uns dados aí'!$E$2:$F$4,2,TRUE),"")</f>
        <v/>
      </c>
      <c r="G11" s="27"/>
      <c r="H11" s="27"/>
      <c r="I11" s="27"/>
      <c r="J11" s="27">
        <f>SUM(Tabela14[[#This Row],[MOD]:[Bônus Habilidade]])-IF(Tabela14[[#This Row],[Penalidade de Armadura?]]="sim",Poderes!C7,0)</f>
        <v>3</v>
      </c>
      <c r="K11" s="27" t="s">
        <v>139</v>
      </c>
      <c r="L11" s="27" t="s">
        <v>140</v>
      </c>
      <c r="M11" s="37" t="s">
        <v>140</v>
      </c>
      <c r="O11" s="41" t="s">
        <v>12</v>
      </c>
      <c r="P11" s="42">
        <f>VLOOKUP(O11,'uns dados aí'!$B$16:$E$22,4,FALSE)</f>
        <v>4</v>
      </c>
    </row>
    <row r="12" spans="2:16">
      <c r="B12" s="28" t="s">
        <v>155</v>
      </c>
      <c r="C12" s="29" t="s">
        <v>156</v>
      </c>
      <c r="D12" s="29">
        <f>VLOOKUP(C12,Clebina!$B$3:$D$8,3,FALSE)</f>
        <v>1</v>
      </c>
      <c r="E12" s="29">
        <f>VLOOKUP(Clebina!$G$2,'uns dados aí'!$I$3:$J$22,2,FALSE)</f>
        <v>2</v>
      </c>
      <c r="F12" s="29" t="str">
        <f>IF(Tabela14[[#This Row],[Treinada?]]="sim",VLOOKUP(Clebina!$G$2,'uns dados aí'!$E$2:$F$4,2,TRUE),"")</f>
        <v/>
      </c>
      <c r="G12" s="29"/>
      <c r="H12" s="29"/>
      <c r="I12" s="29"/>
      <c r="J12" s="29">
        <f>SUM(Tabela14[[#This Row],[MOD]:[Bônus Habilidade]])-IF(Tabela14[[#This Row],[Penalidade de Armadura?]]="sim",Poderes!C8,0)</f>
        <v>3</v>
      </c>
      <c r="K12" s="29" t="s">
        <v>139</v>
      </c>
      <c r="L12" s="29" t="s">
        <v>140</v>
      </c>
      <c r="M12" s="40" t="s">
        <v>140</v>
      </c>
      <c r="O12" s="38" t="s">
        <v>14</v>
      </c>
      <c r="P12" s="39">
        <f>VLOOKUP(O12,'uns dados aí'!$B$16:$E$22,4,FALSE)</f>
        <v>2</v>
      </c>
    </row>
    <row r="13" ht="17.25" spans="2:16">
      <c r="B13" s="26" t="s">
        <v>157</v>
      </c>
      <c r="C13" s="27" t="s">
        <v>138</v>
      </c>
      <c r="D13" s="27">
        <f>VLOOKUP(C13,Clebina!$B$3:$D$8,3,FALSE)</f>
        <v>2</v>
      </c>
      <c r="E13" s="27">
        <f>VLOOKUP(Clebina!$G$2,'uns dados aí'!$I$3:$J$22,2,FALSE)</f>
        <v>2</v>
      </c>
      <c r="F13" s="27" t="str">
        <f>IF(Tabela14[[#This Row],[Treinada?]]="sim",VLOOKUP(Clebina!$G$2,'uns dados aí'!$E$2:$F$4,2,TRUE),"")</f>
        <v/>
      </c>
      <c r="G13" s="27"/>
      <c r="H13" s="27"/>
      <c r="I13" s="27"/>
      <c r="J13" s="27">
        <f>SUM(Tabela14[[#This Row],[MOD]:[Bônus Habilidade]])-IF(Tabela14[[#This Row],[Penalidade de Armadura?]]="sim",Poderes!C9,0)</f>
        <v>4</v>
      </c>
      <c r="K13" s="27" t="s">
        <v>139</v>
      </c>
      <c r="L13" s="27" t="s">
        <v>140</v>
      </c>
      <c r="M13" s="37" t="s">
        <v>141</v>
      </c>
      <c r="O13" s="45" t="s">
        <v>16</v>
      </c>
      <c r="P13" s="46">
        <f>VLOOKUP(O13,'uns dados aí'!$B$16:$E$22,4,FALSE)</f>
        <v>0</v>
      </c>
    </row>
    <row r="14" ht="17.25" spans="2:13">
      <c r="B14" s="28" t="s">
        <v>158</v>
      </c>
      <c r="C14" s="29" t="s">
        <v>150</v>
      </c>
      <c r="D14" s="29">
        <f>VLOOKUP(C14,Clebina!$B$3:$D$8,3,FALSE)</f>
        <v>6</v>
      </c>
      <c r="E14" s="29">
        <f>VLOOKUP(Clebina!$G$2,'uns dados aí'!$I$3:$J$22,2,FALSE)</f>
        <v>2</v>
      </c>
      <c r="F14" s="29">
        <f>IF(Tabela14[[#This Row],[Treinada?]]="sim",VLOOKUP(Clebina!$G$2,'uns dados aí'!$E$2:$F$4,2,TRUE),"")</f>
        <v>2</v>
      </c>
      <c r="G14" s="29"/>
      <c r="H14" s="29">
        <v>1</v>
      </c>
      <c r="I14" s="29"/>
      <c r="J14" s="29">
        <f>SUM(Tabela14[[#This Row],[MOD]:[Bônus Habilidade]])-IF(Tabela14[[#This Row],[Penalidade de Armadura?]]="sim",Poderes!C10,0)</f>
        <v>11</v>
      </c>
      <c r="K14" s="29" t="s">
        <v>141</v>
      </c>
      <c r="L14" s="29" t="s">
        <v>141</v>
      </c>
      <c r="M14" s="40" t="s">
        <v>140</v>
      </c>
    </row>
    <row r="15" spans="2:13">
      <c r="B15" s="26" t="s">
        <v>159</v>
      </c>
      <c r="C15" s="27" t="s">
        <v>138</v>
      </c>
      <c r="D15" s="27">
        <f>VLOOKUP(C15,Clebina!$B$3:$D$8,3,FALSE)</f>
        <v>2</v>
      </c>
      <c r="E15" s="27">
        <f>VLOOKUP(Clebina!$G$2,'uns dados aí'!$I$3:$J$22,2,FALSE)</f>
        <v>2</v>
      </c>
      <c r="F15" s="27" t="str">
        <f>IF(Tabela14[[#This Row],[Treinada?]]="sim",VLOOKUP(Clebina!$G$2,'uns dados aí'!$E$2:$F$4,2,TRUE),"")</f>
        <v/>
      </c>
      <c r="G15" s="27"/>
      <c r="H15" s="27"/>
      <c r="I15" s="27"/>
      <c r="J15" s="27">
        <f>SUM(Tabela14[[#This Row],[MOD]:[Bônus Habilidade]])-IF(Tabela14[[#This Row],[Penalidade de Armadura?]]="sim",Poderes!C11,0)</f>
        <v>4</v>
      </c>
      <c r="K15" s="27" t="s">
        <v>139</v>
      </c>
      <c r="L15" s="27" t="s">
        <v>140</v>
      </c>
      <c r="M15" s="37" t="s">
        <v>140</v>
      </c>
    </row>
    <row r="16" spans="2:13">
      <c r="B16" s="28" t="s">
        <v>160</v>
      </c>
      <c r="C16" s="29" t="s">
        <v>143</v>
      </c>
      <c r="D16" s="29">
        <f>VLOOKUP(C16,Clebina!$B$3:$D$8,3,FALSE)</f>
        <v>1</v>
      </c>
      <c r="E16" s="29">
        <f>VLOOKUP(Clebina!$G$2,'uns dados aí'!$I$3:$J$22,2,FALSE)</f>
        <v>2</v>
      </c>
      <c r="F16" s="29" t="str">
        <f>IF(Tabela14[[#This Row],[Treinada?]]="sim",VLOOKUP(Clebina!$G$2,'uns dados aí'!$E$2:$F$4,2,TRUE),"")</f>
        <v/>
      </c>
      <c r="G16" s="29"/>
      <c r="H16" s="29"/>
      <c r="I16" s="29"/>
      <c r="J16" s="29">
        <f>SUM(Tabela14[[#This Row],[MOD]:[Bônus Habilidade]])-IF(Tabela14[[#This Row],[Penalidade de Armadura?]]="sim",Poderes!C12,0)</f>
        <v>3</v>
      </c>
      <c r="K16" s="29" t="s">
        <v>139</v>
      </c>
      <c r="L16" s="29" t="s">
        <v>140</v>
      </c>
      <c r="M16" s="40" t="s">
        <v>140</v>
      </c>
    </row>
    <row r="17" spans="2:13">
      <c r="B17" s="26" t="s">
        <v>161</v>
      </c>
      <c r="C17" s="27" t="s">
        <v>152</v>
      </c>
      <c r="D17" s="27">
        <f>VLOOKUP(C17,Clebina!$B$3:$D$8,3,FALSE)</f>
        <v>4</v>
      </c>
      <c r="E17" s="27">
        <f>VLOOKUP(Clebina!$G$2,'uns dados aí'!$I$3:$J$22,2,FALSE)</f>
        <v>2</v>
      </c>
      <c r="F17" s="27" t="str">
        <f>IF(Tabela14[[#This Row],[Treinada?]]="sim",VLOOKUP(Clebina!$G$2,'uns dados aí'!$E$2:$F$4,2,TRUE),"")</f>
        <v/>
      </c>
      <c r="G17" s="27"/>
      <c r="H17" s="27"/>
      <c r="I17" s="27"/>
      <c r="J17" s="27">
        <f>SUM(Tabela14[[#This Row],[MOD]:[Bônus Habilidade]])-IF(Tabela14[[#This Row],[Penalidade de Armadura?]]="sim",Poderes!C13,0)</f>
        <v>6</v>
      </c>
      <c r="K17" s="27" t="s">
        <v>139</v>
      </c>
      <c r="L17" s="27" t="s">
        <v>140</v>
      </c>
      <c r="M17" s="37" t="s">
        <v>140</v>
      </c>
    </row>
    <row r="18" spans="2:13">
      <c r="B18" s="28" t="s">
        <v>162</v>
      </c>
      <c r="C18" s="29" t="s">
        <v>150</v>
      </c>
      <c r="D18" s="29">
        <f>VLOOKUP(C18,Clebina!$B$3:$D$8,3,FALSE)</f>
        <v>6</v>
      </c>
      <c r="E18" s="29">
        <f>VLOOKUP(Clebina!$G$2,'uns dados aí'!$I$3:$J$22,2,FALSE)</f>
        <v>2</v>
      </c>
      <c r="F18" s="29">
        <f>IF(Tabela14[[#This Row],[Treinada?]]="sim",VLOOKUP(Clebina!$G$2,'uns dados aí'!$E$2:$F$4,2,TRUE),"")</f>
        <v>2</v>
      </c>
      <c r="G18" s="29"/>
      <c r="H18" s="29"/>
      <c r="I18" s="29"/>
      <c r="J18" s="29">
        <f>SUM(Tabela14[[#This Row],[MOD]:[Bônus Habilidade]])-IF(Tabela14[[#This Row],[Penalidade de Armadura?]]="sim",Poderes!C14,0)</f>
        <v>10</v>
      </c>
      <c r="K18" s="29" t="s">
        <v>141</v>
      </c>
      <c r="L18" s="29" t="s">
        <v>140</v>
      </c>
      <c r="M18" s="40" t="s">
        <v>140</v>
      </c>
    </row>
    <row r="19" spans="2:13">
      <c r="B19" s="26" t="s">
        <v>163</v>
      </c>
      <c r="C19" s="27" t="s">
        <v>143</v>
      </c>
      <c r="D19" s="27">
        <f>VLOOKUP(C19,Clebina!$B$3:$D$8,3,FALSE)</f>
        <v>1</v>
      </c>
      <c r="E19" s="27">
        <f>VLOOKUP(Clebina!$G$2,'uns dados aí'!$I$3:$J$22,2,FALSE)</f>
        <v>2</v>
      </c>
      <c r="F19" s="27" t="str">
        <f>IF(Tabela14[[#This Row],[Treinada?]]="sim",VLOOKUP(Clebina!$G$2,'uns dados aí'!$E$2:$F$4,2,TRUE),"")</f>
        <v/>
      </c>
      <c r="G19" s="27"/>
      <c r="H19" s="27"/>
      <c r="I19" s="27"/>
      <c r="J19" s="27">
        <f>SUM(Tabela14[[#This Row],[MOD]:[Bônus Habilidade]])-IF(Tabela14[[#This Row],[Penalidade de Armadura?]]="sim",Poderes!C15,0)</f>
        <v>3</v>
      </c>
      <c r="K19" s="27" t="s">
        <v>139</v>
      </c>
      <c r="L19" s="27" t="s">
        <v>141</v>
      </c>
      <c r="M19" s="37" t="s">
        <v>140</v>
      </c>
    </row>
    <row r="20" spans="2:13">
      <c r="B20" s="28" t="s">
        <v>164</v>
      </c>
      <c r="C20" s="29" t="s">
        <v>138</v>
      </c>
      <c r="D20" s="29">
        <f>VLOOKUP(C20,Clebina!$B$3:$D$8,3,FALSE)</f>
        <v>2</v>
      </c>
      <c r="E20" s="29">
        <f>VLOOKUP(Clebina!$G$2,'uns dados aí'!$I$3:$J$22,2,FALSE)</f>
        <v>2</v>
      </c>
      <c r="F20" s="29" t="str">
        <f>IF(Tabela14[[#This Row],[Treinada?]]="sim",VLOOKUP(Clebina!$G$2,'uns dados aí'!$E$2:$F$4,2,TRUE),"")</f>
        <v/>
      </c>
      <c r="G20" s="29"/>
      <c r="H20" s="29"/>
      <c r="I20" s="29"/>
      <c r="J20" s="29">
        <f>SUM(Tabela14[[#This Row],[MOD]:[Bônus Habilidade]])-IF(Tabela14[[#This Row],[Penalidade de Armadura?]]="sim",Poderes!C16,0)</f>
        <v>4</v>
      </c>
      <c r="K20" s="29" t="s">
        <v>139</v>
      </c>
      <c r="L20" s="29" t="s">
        <v>141</v>
      </c>
      <c r="M20" s="40" t="s">
        <v>141</v>
      </c>
    </row>
    <row r="21" spans="2:13">
      <c r="B21" s="26" t="s">
        <v>80</v>
      </c>
      <c r="C21" s="27" t="s">
        <v>145</v>
      </c>
      <c r="D21" s="27">
        <f>VLOOKUP(C21,Clebina!$B$3:$D$8,3,FALSE)</f>
        <v>3</v>
      </c>
      <c r="E21" s="27">
        <f>VLOOKUP(Clebina!$G$2,'uns dados aí'!$I$3:$J$22,2,FALSE)</f>
        <v>2</v>
      </c>
      <c r="F21" s="27">
        <f>IF(Tabela14[[#This Row],[Treinada?]]="sim",VLOOKUP(Clebina!$G$2,'uns dados aí'!$E$2:$F$4,2,TRUE),"")</f>
        <v>2</v>
      </c>
      <c r="G21" s="27"/>
      <c r="H21" s="27"/>
      <c r="I21" s="27"/>
      <c r="J21" s="27">
        <f>SUM(Tabela14[[#This Row],[MOD]:[Bônus Habilidade]])-IF(Tabela14[[#This Row],[Penalidade de Armadura?]]="sim",Poderes!C17,0)</f>
        <v>7</v>
      </c>
      <c r="K21" s="27" t="s">
        <v>141</v>
      </c>
      <c r="L21" s="27" t="s">
        <v>140</v>
      </c>
      <c r="M21" s="37" t="s">
        <v>140</v>
      </c>
    </row>
    <row r="22" spans="2:13">
      <c r="B22" s="28" t="s">
        <v>165</v>
      </c>
      <c r="C22" s="29" t="s">
        <v>150</v>
      </c>
      <c r="D22" s="29">
        <f>VLOOKUP(C22,Clebina!$B$3:$D$8,3,FALSE)</f>
        <v>6</v>
      </c>
      <c r="E22" s="29">
        <f>VLOOKUP(Clebina!$G$2,'uns dados aí'!$I$3:$J$22,2,FALSE)</f>
        <v>2</v>
      </c>
      <c r="F22" s="29">
        <f>IF(Tabela14[[#This Row],[Treinada?]]="sim",VLOOKUP(Clebina!$G$2,'uns dados aí'!$E$2:$F$4,2,TRUE),"")</f>
        <v>2</v>
      </c>
      <c r="G22" s="29">
        <v>2</v>
      </c>
      <c r="H22" s="29"/>
      <c r="I22" s="29"/>
      <c r="J22" s="29">
        <f>SUM(Tabela14[[#This Row],[MOD]:[Bônus Habilidade]])-IF(Tabela14[[#This Row],[Penalidade de Armadura?]]="sim",Poderes!C18,0)</f>
        <v>12</v>
      </c>
      <c r="K22" s="29" t="s">
        <v>141</v>
      </c>
      <c r="L22" s="29" t="s">
        <v>141</v>
      </c>
      <c r="M22" s="40" t="s">
        <v>140</v>
      </c>
    </row>
    <row r="23" spans="2:13">
      <c r="B23" s="26" t="s">
        <v>166</v>
      </c>
      <c r="C23" s="27" t="s">
        <v>150</v>
      </c>
      <c r="D23" s="27">
        <f>VLOOKUP(C23,Clebina!$B$3:$D$8,3,FALSE)</f>
        <v>6</v>
      </c>
      <c r="E23" s="27">
        <f>VLOOKUP(Clebina!$G$2,'uns dados aí'!$I$3:$J$22,2,FALSE)</f>
        <v>2</v>
      </c>
      <c r="F23" s="27" t="str">
        <f>IF(Tabela14[[#This Row],[Treinada?]]="sim",VLOOKUP(Clebina!$G$2,'uns dados aí'!$E$2:$F$4,2,TRUE),"")</f>
        <v/>
      </c>
      <c r="G23" s="27"/>
      <c r="H23" s="27"/>
      <c r="I23" s="27"/>
      <c r="J23" s="27">
        <f>SUM(Tabela14[[#This Row],[MOD]:[Bônus Habilidade]])-IF(Tabela14[[#This Row],[Penalidade de Armadura?]]="sim",Poderes!C19,0)</f>
        <v>8</v>
      </c>
      <c r="K23" s="27" t="s">
        <v>139</v>
      </c>
      <c r="L23" s="27" t="s">
        <v>141</v>
      </c>
      <c r="M23" s="37" t="s">
        <v>140</v>
      </c>
    </row>
    <row r="24" spans="2:13">
      <c r="B24" s="28" t="s">
        <v>167</v>
      </c>
      <c r="C24" s="29" t="s">
        <v>150</v>
      </c>
      <c r="D24" s="29">
        <f>VLOOKUP(C24,Clebina!$B$3:$D$8,3,FALSE)</f>
        <v>6</v>
      </c>
      <c r="E24" s="29">
        <f>VLOOKUP(Clebina!$G$2,'uns dados aí'!$I$3:$J$22,2,FALSE)</f>
        <v>2</v>
      </c>
      <c r="F24" s="29">
        <f>IF(Tabela14[[#This Row],[Treinada?]]="sim",VLOOKUP(Clebina!$G$2,'uns dados aí'!$E$2:$F$4,2,TRUE),"")</f>
        <v>2</v>
      </c>
      <c r="G24" s="29"/>
      <c r="H24" s="29"/>
      <c r="I24" s="29"/>
      <c r="J24" s="29">
        <f>SUM(Tabela14[[#This Row],[MOD]:[Bônus Habilidade]])-IF(Tabela14[[#This Row],[Penalidade de Armadura?]]="sim",Poderes!C20,0)</f>
        <v>10</v>
      </c>
      <c r="K24" s="29" t="s">
        <v>141</v>
      </c>
      <c r="L24" s="29" t="s">
        <v>141</v>
      </c>
      <c r="M24" s="40" t="s">
        <v>140</v>
      </c>
    </row>
    <row r="25" spans="2:13">
      <c r="B25" s="26" t="s">
        <v>168</v>
      </c>
      <c r="C25" s="27" t="s">
        <v>150</v>
      </c>
      <c r="D25" s="27">
        <f>VLOOKUP(C25,Clebina!$B$3:$D$8,3,FALSE)</f>
        <v>6</v>
      </c>
      <c r="E25" s="27">
        <f>VLOOKUP(Clebina!$G$2,'uns dados aí'!$I$3:$J$22,2,FALSE)</f>
        <v>2</v>
      </c>
      <c r="F25" s="27">
        <f>IF(Tabela14[[#This Row],[Treinada?]]="sim",VLOOKUP(Clebina!$G$2,'uns dados aí'!$E$2:$F$4,2,TRUE),"")</f>
        <v>2</v>
      </c>
      <c r="G25" s="27"/>
      <c r="H25" s="27"/>
      <c r="I25" s="27"/>
      <c r="J25" s="27">
        <f>SUM(Tabela14[[#This Row],[MOD]:[Bônus Habilidade]])-IF(Tabela14[[#This Row],[Penalidade de Armadura?]]="sim",Poderes!C21,0)</f>
        <v>10</v>
      </c>
      <c r="K25" s="27" t="s">
        <v>141</v>
      </c>
      <c r="L25" s="27" t="s">
        <v>141</v>
      </c>
      <c r="M25" s="37" t="s">
        <v>140</v>
      </c>
    </row>
    <row r="26" spans="2:13">
      <c r="B26" s="30" t="s">
        <v>169</v>
      </c>
      <c r="C26" s="29" t="s">
        <v>150</v>
      </c>
      <c r="D26" s="29">
        <f>VLOOKUP(C26,Clebina!$B$3:$D$8,3,FALSE)</f>
        <v>6</v>
      </c>
      <c r="E26" s="29">
        <f>VLOOKUP(Clebina!$G$2,'uns dados aí'!$I$3:$J$22,2,FALSE)</f>
        <v>2</v>
      </c>
      <c r="F26" s="29">
        <f>IF(Tabela14[[#This Row],[Treinada?]]="sim",VLOOKUP(Clebina!$G$2,'uns dados aí'!$E$2:$F$4,2,TRUE),"")</f>
        <v>2</v>
      </c>
      <c r="G26" s="29"/>
      <c r="H26" s="29"/>
      <c r="I26" s="29"/>
      <c r="J26" s="29">
        <f>SUM(Tabela14[[#This Row],[MOD]:[Bônus Habilidade]])-IF(Tabela14[[#This Row],[Penalidade de Armadura?]]="sim",Poderes!C22,0)</f>
        <v>10</v>
      </c>
      <c r="K26" s="29" t="s">
        <v>141</v>
      </c>
      <c r="L26" s="29" t="s">
        <v>141</v>
      </c>
      <c r="M26" s="40" t="s">
        <v>140</v>
      </c>
    </row>
    <row r="27" spans="2:13">
      <c r="B27" s="26" t="s">
        <v>170</v>
      </c>
      <c r="C27" s="27" t="s">
        <v>152</v>
      </c>
      <c r="D27" s="27">
        <f>VLOOKUP(C27,Clebina!$B$3:$D$8,3,FALSE)</f>
        <v>4</v>
      </c>
      <c r="E27" s="27">
        <f>VLOOKUP(Clebina!$G$2,'uns dados aí'!$I$3:$J$22,2,FALSE)</f>
        <v>2</v>
      </c>
      <c r="F27" s="27">
        <f>IF(Tabela14[[#This Row],[Treinada?]]="sim",VLOOKUP(Clebina!$G$2,'uns dados aí'!$E$2:$F$4,2,TRUE),"")</f>
        <v>2</v>
      </c>
      <c r="G27" s="27">
        <v>2</v>
      </c>
      <c r="H27" s="27"/>
      <c r="I27" s="27"/>
      <c r="J27" s="27">
        <f>SUM(Tabela14[[#This Row],[MOD]:[Bônus Habilidade]])-IF(Tabela14[[#This Row],[Penalidade de Armadura?]]="sim",Clebina!D40,0)</f>
        <v>10</v>
      </c>
      <c r="K27" s="27" t="s">
        <v>141</v>
      </c>
      <c r="L27" s="27" t="s">
        <v>140</v>
      </c>
      <c r="M27" s="37" t="s">
        <v>140</v>
      </c>
    </row>
    <row r="28" spans="2:13">
      <c r="B28" s="28" t="s">
        <v>171</v>
      </c>
      <c r="C28" s="29" t="s">
        <v>138</v>
      </c>
      <c r="D28" s="29">
        <f>VLOOKUP(C28,Clebina!$B$3:$D$8,3,FALSE)</f>
        <v>2</v>
      </c>
      <c r="E28" s="29">
        <f>VLOOKUP(Clebina!$G$2,'uns dados aí'!$I$3:$J$22,2,FALSE)</f>
        <v>2</v>
      </c>
      <c r="F28" s="29" t="str">
        <f>IF(Tabela14[[#This Row],[Treinada?]]="sim",VLOOKUP(Clebina!$G$2,'uns dados aí'!$E$2:$F$4,2,TRUE),"")</f>
        <v/>
      </c>
      <c r="G28" s="29"/>
      <c r="H28" s="29"/>
      <c r="I28" s="29"/>
      <c r="J28" s="29">
        <f>SUM(Tabela14[[#This Row],[MOD]:[Bônus Habilidade]])-IF(Tabela14[[#This Row],[Penalidade de Armadura?]]="sim",Poderes!K1,0)</f>
        <v>4</v>
      </c>
      <c r="K28" s="29" t="s">
        <v>139</v>
      </c>
      <c r="L28" s="29" t="s">
        <v>141</v>
      </c>
      <c r="M28" s="40" t="s">
        <v>140</v>
      </c>
    </row>
    <row r="29" spans="2:13">
      <c r="B29" s="26" t="s">
        <v>172</v>
      </c>
      <c r="C29" s="27" t="s">
        <v>138</v>
      </c>
      <c r="D29" s="27">
        <f>VLOOKUP(C29,Clebina!$B$3:$D$8,3,FALSE)</f>
        <v>2</v>
      </c>
      <c r="E29" s="27">
        <f>VLOOKUP(Clebina!$G$2,'uns dados aí'!$I$3:$J$22,2,FALSE)</f>
        <v>2</v>
      </c>
      <c r="F29" s="27" t="str">
        <f>IF(Tabela14[[#This Row],[Treinada?]]="sim",VLOOKUP(Clebina!$G$2,'uns dados aí'!$E$2:$F$4,2,TRUE),"")</f>
        <v/>
      </c>
      <c r="G29" s="27"/>
      <c r="H29" s="27"/>
      <c r="I29" s="27"/>
      <c r="J29" s="27">
        <f>SUM(Tabela14[[#This Row],[MOD]:[Bônus Habilidade]])-IF(Tabela14[[#This Row],[Penalidade de Armadura?]]="sim",Poderes!K2,0)</f>
        <v>4</v>
      </c>
      <c r="K29" s="27" t="s">
        <v>139</v>
      </c>
      <c r="L29" s="27" t="s">
        <v>140</v>
      </c>
      <c r="M29" s="37" t="s">
        <v>140</v>
      </c>
    </row>
    <row r="30" spans="2:13">
      <c r="B30" s="28" t="s">
        <v>173</v>
      </c>
      <c r="C30" s="29" t="s">
        <v>138</v>
      </c>
      <c r="D30" s="29">
        <f>VLOOKUP(C30,Clebina!$B$3:$D$8,3,FALSE)</f>
        <v>2</v>
      </c>
      <c r="E30" s="29">
        <f>VLOOKUP(Clebina!$G$2,'uns dados aí'!$I$3:$J$22,2,FALSE)</f>
        <v>2</v>
      </c>
      <c r="F30" s="29">
        <f>IF(Tabela14[[#This Row],[Treinada?]]="sim",VLOOKUP(Clebina!$G$2,'uns dados aí'!$E$2:$F$4,2,TRUE),"")</f>
        <v>2</v>
      </c>
      <c r="G30" s="29"/>
      <c r="H30" s="29"/>
      <c r="I30" s="29"/>
      <c r="J30" s="29">
        <f>SUM(Tabela14[[#This Row],[MOD]:[Bônus Habilidade]])-IF(Tabela14[[#This Row],[Penalidade de Armadura?]]="sim",Poderes!#REF!,0)</f>
        <v>6</v>
      </c>
      <c r="K30" s="29" t="s">
        <v>141</v>
      </c>
      <c r="L30" s="29" t="s">
        <v>140</v>
      </c>
      <c r="M30" s="40" t="s">
        <v>140</v>
      </c>
    </row>
    <row r="31" spans="2:13">
      <c r="B31" s="26" t="s">
        <v>174</v>
      </c>
      <c r="C31" s="27" t="s">
        <v>152</v>
      </c>
      <c r="D31" s="27">
        <f>VLOOKUP(C31,Clebina!$B$3:$D$8,3,FALSE)</f>
        <v>4</v>
      </c>
      <c r="E31" s="27">
        <f>VLOOKUP(Clebina!$G$2,'uns dados aí'!$I$3:$J$22,2,FALSE)</f>
        <v>2</v>
      </c>
      <c r="F31" s="27">
        <f>IF(Tabela14[[#This Row],[Treinada?]]="sim",VLOOKUP(Clebina!$G$2,'uns dados aí'!$E$2:$F$4,2,TRUE),"")</f>
        <v>2</v>
      </c>
      <c r="G31" s="27"/>
      <c r="H31" s="27"/>
      <c r="I31" s="27"/>
      <c r="J31" s="27">
        <f>SUM(Tabela14[[#This Row],[MOD]:[Bônus Habilidade]])-IF(Tabela14[[#This Row],[Penalidade de Armadura?]]="sim",Poderes!#REF!,0)</f>
        <v>8</v>
      </c>
      <c r="K31" s="27" t="s">
        <v>141</v>
      </c>
      <c r="L31" s="27" t="s">
        <v>141</v>
      </c>
      <c r="M31" s="37" t="s">
        <v>140</v>
      </c>
    </row>
    <row r="32" spans="2:13">
      <c r="B32" s="28" t="s">
        <v>175</v>
      </c>
      <c r="C32" s="29" t="s">
        <v>152</v>
      </c>
      <c r="D32" s="29">
        <f>VLOOKUP(C32,Clebina!$B$3:$D$8,3,FALSE)</f>
        <v>4</v>
      </c>
      <c r="E32" s="29">
        <f>VLOOKUP(Clebina!$G$2,'uns dados aí'!$I$3:$J$22,2,FALSE)</f>
        <v>2</v>
      </c>
      <c r="F32" s="29" t="str">
        <f>IF(Tabela14[[#This Row],[Treinada?]]="sim",VLOOKUP(Clebina!$G$2,'uns dados aí'!$E$2:$F$4,2,TRUE),"")</f>
        <v/>
      </c>
      <c r="G32" s="29"/>
      <c r="H32" s="29"/>
      <c r="I32" s="29"/>
      <c r="J32" s="29">
        <f>SUM(Tabela14[[#This Row],[MOD]:[Bônus Habilidade]])-IF(Tabela14[[#This Row],[Penalidade de Armadura?]]="sim",Poderes!#REF!,0)</f>
        <v>6</v>
      </c>
      <c r="K32" s="29" t="s">
        <v>139</v>
      </c>
      <c r="L32" s="29" t="s">
        <v>140</v>
      </c>
      <c r="M32" s="40" t="s">
        <v>140</v>
      </c>
    </row>
    <row r="33" spans="2:13">
      <c r="B33" s="31" t="s">
        <v>176</v>
      </c>
      <c r="C33" s="32" t="s">
        <v>152</v>
      </c>
      <c r="D33" s="32">
        <f>VLOOKUP(C33,Clebina!$B$3:$D$8,3,FALSE)</f>
        <v>4</v>
      </c>
      <c r="E33" s="32">
        <f>VLOOKUP(Clebina!$G$2,'uns dados aí'!$I$3:$J$22,2,FALSE)</f>
        <v>2</v>
      </c>
      <c r="F33" s="32">
        <f>IF(Tabela14[[#This Row],[Treinada?]]="sim",VLOOKUP(Clebina!$G$2,'uns dados aí'!$E$2:$F$4,2,TRUE),"")</f>
        <v>2</v>
      </c>
      <c r="G33" s="32"/>
      <c r="H33" s="32"/>
      <c r="I33" s="32"/>
      <c r="J33" s="32">
        <f>SUM(Tabela14[[#This Row],[MOD]:[Bônus Habilidade]])-IF(Tabela14[[#This Row],[Penalidade de Armadura?]]="sim",Poderes!#REF!,0)</f>
        <v>8</v>
      </c>
      <c r="K33" s="32" t="s">
        <v>141</v>
      </c>
      <c r="L33" s="32" t="s">
        <v>140</v>
      </c>
      <c r="M33" s="47" t="s">
        <v>140</v>
      </c>
    </row>
  </sheetData>
  <mergeCells count="2">
    <mergeCell ref="O2:P2"/>
    <mergeCell ref="O7:P7"/>
  </mergeCells>
  <pageMargins left="0.511811024" right="0.511811024" top="0.787401575" bottom="0.787401575" header="0.31496062" footer="0.31496062"/>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3"/>
  <sheetViews>
    <sheetView workbookViewId="0">
      <selection activeCell="D32" sqref="D32"/>
    </sheetView>
  </sheetViews>
  <sheetFormatPr defaultColWidth="9" defaultRowHeight="16.5"/>
  <cols>
    <col min="2" max="3" width="10.2844444444444" customWidth="1"/>
    <col min="4" max="4" width="12.2844444444444" customWidth="1"/>
    <col min="8" max="8" width="20.2844444444444" customWidth="1"/>
    <col min="9" max="9" width="19.8533333333333" customWidth="1"/>
    <col min="10" max="10" width="17" customWidth="1"/>
  </cols>
  <sheetData>
    <row r="1" ht="17.25"/>
    <row r="2" ht="17.25" spans="2:13">
      <c r="B2" s="1" t="s">
        <v>177</v>
      </c>
      <c r="C2" s="2"/>
      <c r="E2" s="1">
        <v>1</v>
      </c>
      <c r="F2" s="2">
        <v>2</v>
      </c>
      <c r="H2" s="15" t="s">
        <v>178</v>
      </c>
      <c r="I2" s="21" t="s">
        <v>179</v>
      </c>
      <c r="J2" s="2" t="s">
        <v>180</v>
      </c>
      <c r="L2" s="1" t="s">
        <v>181</v>
      </c>
      <c r="M2" s="2">
        <f>12+Clebina!D5</f>
        <v>13</v>
      </c>
    </row>
    <row r="3" spans="2:13">
      <c r="B3" s="3" t="s">
        <v>4</v>
      </c>
      <c r="C3" s="4">
        <v>16</v>
      </c>
      <c r="E3" s="3">
        <v>7</v>
      </c>
      <c r="F3" s="4">
        <v>4</v>
      </c>
      <c r="H3" s="3">
        <v>0</v>
      </c>
      <c r="I3" s="12">
        <v>1</v>
      </c>
      <c r="J3" s="4">
        <f>ROUNDDOWN(I3/2,0)</f>
        <v>0</v>
      </c>
      <c r="L3" s="3" t="s">
        <v>182</v>
      </c>
      <c r="M3" s="4">
        <v>4</v>
      </c>
    </row>
    <row r="4" ht="17.25" spans="2:13">
      <c r="B4" s="5" t="s">
        <v>9</v>
      </c>
      <c r="C4" s="6">
        <v>12</v>
      </c>
      <c r="E4" s="7">
        <v>15</v>
      </c>
      <c r="F4" s="8">
        <v>6</v>
      </c>
      <c r="H4" s="16">
        <v>1000</v>
      </c>
      <c r="I4" s="22">
        <v>2</v>
      </c>
      <c r="J4" s="6">
        <f t="shared" ref="J4:J22" si="0">ROUNDDOWN(I4/2,0)</f>
        <v>1</v>
      </c>
      <c r="L4" s="7" t="s">
        <v>183</v>
      </c>
      <c r="M4" s="8">
        <v>1</v>
      </c>
    </row>
    <row r="5" ht="17.25" spans="2:10">
      <c r="B5" s="3" t="s">
        <v>10</v>
      </c>
      <c r="C5" s="4">
        <v>14</v>
      </c>
      <c r="H5" s="17">
        <v>3000</v>
      </c>
      <c r="I5" s="12">
        <v>3</v>
      </c>
      <c r="J5" s="4">
        <f t="shared" si="0"/>
        <v>1</v>
      </c>
    </row>
    <row r="6" spans="2:10">
      <c r="B6" s="5" t="s">
        <v>12</v>
      </c>
      <c r="C6" s="6">
        <v>18</v>
      </c>
      <c r="H6" s="16">
        <v>6000</v>
      </c>
      <c r="I6" s="22">
        <v>4</v>
      </c>
      <c r="J6" s="6">
        <f t="shared" si="0"/>
        <v>2</v>
      </c>
    </row>
    <row r="7" spans="2:10">
      <c r="B7" s="3" t="s">
        <v>14</v>
      </c>
      <c r="C7" s="4">
        <v>16</v>
      </c>
      <c r="H7" s="17">
        <v>10000</v>
      </c>
      <c r="I7" s="12">
        <v>5</v>
      </c>
      <c r="J7" s="4">
        <f t="shared" si="0"/>
        <v>2</v>
      </c>
    </row>
    <row r="8" ht="17.25" spans="2:10">
      <c r="B8" s="7" t="s">
        <v>16</v>
      </c>
      <c r="C8" s="8">
        <v>12</v>
      </c>
      <c r="H8" s="16">
        <v>15000</v>
      </c>
      <c r="I8" s="22">
        <v>6</v>
      </c>
      <c r="J8" s="6">
        <f t="shared" si="0"/>
        <v>3</v>
      </c>
    </row>
    <row r="9" ht="17.25" spans="8:10">
      <c r="H9" s="17">
        <v>21000</v>
      </c>
      <c r="I9" s="12">
        <v>7</v>
      </c>
      <c r="J9" s="4">
        <f t="shared" si="0"/>
        <v>3</v>
      </c>
    </row>
    <row r="10" spans="8:10">
      <c r="H10" s="16">
        <v>28000</v>
      </c>
      <c r="I10" s="22">
        <v>8</v>
      </c>
      <c r="J10" s="6">
        <f t="shared" si="0"/>
        <v>4</v>
      </c>
    </row>
    <row r="11" ht="17.25" spans="8:10">
      <c r="H11" s="17">
        <v>36000</v>
      </c>
      <c r="I11" s="12">
        <v>9</v>
      </c>
      <c r="J11" s="4">
        <f t="shared" si="0"/>
        <v>4</v>
      </c>
    </row>
    <row r="12" ht="17.25" spans="2:10">
      <c r="B12" s="1" t="s">
        <v>184</v>
      </c>
      <c r="C12" s="2">
        <f>3+Clebina!D5</f>
        <v>4</v>
      </c>
      <c r="H12" s="16">
        <v>45000</v>
      </c>
      <c r="I12" s="22">
        <v>10</v>
      </c>
      <c r="J12" s="6">
        <f t="shared" si="0"/>
        <v>5</v>
      </c>
    </row>
    <row r="13" spans="2:10">
      <c r="B13" s="3" t="s">
        <v>185</v>
      </c>
      <c r="C13" s="4">
        <f>SUM(M3:M4)</f>
        <v>5</v>
      </c>
      <c r="H13" s="17">
        <v>55000</v>
      </c>
      <c r="I13" s="12">
        <v>11</v>
      </c>
      <c r="J13" s="4">
        <f t="shared" si="0"/>
        <v>5</v>
      </c>
    </row>
    <row r="14" ht="17.25" spans="2:10">
      <c r="B14" s="7"/>
      <c r="C14" s="8"/>
      <c r="H14" s="16">
        <v>66000</v>
      </c>
      <c r="I14" s="22">
        <v>12</v>
      </c>
      <c r="J14" s="6">
        <f t="shared" si="0"/>
        <v>6</v>
      </c>
    </row>
    <row r="15" ht="18" spans="8:10">
      <c r="H15" s="17">
        <v>78000</v>
      </c>
      <c r="I15" s="12">
        <v>13</v>
      </c>
      <c r="J15" s="4">
        <f t="shared" si="0"/>
        <v>6</v>
      </c>
    </row>
    <row r="16" ht="17.25" spans="2:10">
      <c r="B16" s="9" t="s">
        <v>129</v>
      </c>
      <c r="C16" s="10" t="s">
        <v>186</v>
      </c>
      <c r="D16" s="10" t="s">
        <v>187</v>
      </c>
      <c r="E16" s="18" t="s">
        <v>79</v>
      </c>
      <c r="H16" s="16">
        <v>91000</v>
      </c>
      <c r="I16" s="22">
        <v>14</v>
      </c>
      <c r="J16" s="6">
        <f t="shared" si="0"/>
        <v>7</v>
      </c>
    </row>
    <row r="17" spans="2:10">
      <c r="B17" s="5" t="s">
        <v>4</v>
      </c>
      <c r="C17" s="11">
        <v>0</v>
      </c>
      <c r="D17" s="11"/>
      <c r="E17" s="6">
        <f>SUM(C17:D17)</f>
        <v>0</v>
      </c>
      <c r="H17" s="17">
        <v>105000</v>
      </c>
      <c r="I17" s="12">
        <v>15</v>
      </c>
      <c r="J17" s="4">
        <f t="shared" si="0"/>
        <v>7</v>
      </c>
    </row>
    <row r="18" spans="2:10">
      <c r="B18" s="3" t="s">
        <v>9</v>
      </c>
      <c r="C18" s="12">
        <v>2</v>
      </c>
      <c r="D18" s="12"/>
      <c r="E18" s="4">
        <f t="shared" ref="E18:E22" si="1">SUM(C18:D18)</f>
        <v>2</v>
      </c>
      <c r="H18" s="16">
        <v>120000</v>
      </c>
      <c r="I18" s="22">
        <v>16</v>
      </c>
      <c r="J18" s="6">
        <f t="shared" si="0"/>
        <v>8</v>
      </c>
    </row>
    <row r="19" spans="2:10">
      <c r="B19" s="5" t="s">
        <v>10</v>
      </c>
      <c r="C19" s="11">
        <v>-2</v>
      </c>
      <c r="D19" s="11"/>
      <c r="E19" s="6">
        <f t="shared" si="1"/>
        <v>-2</v>
      </c>
      <c r="H19" s="17">
        <v>136000</v>
      </c>
      <c r="I19" s="12">
        <v>17</v>
      </c>
      <c r="J19" s="4">
        <f t="shared" si="0"/>
        <v>8</v>
      </c>
    </row>
    <row r="20" spans="2:10">
      <c r="B20" s="3" t="s">
        <v>12</v>
      </c>
      <c r="C20" s="12">
        <v>4</v>
      </c>
      <c r="D20" s="12"/>
      <c r="E20" s="4">
        <f t="shared" si="1"/>
        <v>4</v>
      </c>
      <c r="H20" s="16">
        <v>153000</v>
      </c>
      <c r="I20" s="22">
        <v>18</v>
      </c>
      <c r="J20" s="6">
        <f t="shared" si="0"/>
        <v>9</v>
      </c>
    </row>
    <row r="21" spans="2:10">
      <c r="B21" s="5" t="s">
        <v>14</v>
      </c>
      <c r="C21" s="11">
        <v>0</v>
      </c>
      <c r="D21" s="11">
        <v>2</v>
      </c>
      <c r="E21" s="6">
        <f t="shared" si="1"/>
        <v>2</v>
      </c>
      <c r="H21" s="17">
        <v>171000</v>
      </c>
      <c r="I21" s="12">
        <v>19</v>
      </c>
      <c r="J21" s="4">
        <f t="shared" si="0"/>
        <v>9</v>
      </c>
    </row>
    <row r="22" ht="17.25" spans="2:10">
      <c r="B22" s="13" t="s">
        <v>16</v>
      </c>
      <c r="C22" s="14">
        <v>0</v>
      </c>
      <c r="D22" s="14"/>
      <c r="E22" s="19">
        <f t="shared" si="1"/>
        <v>0</v>
      </c>
      <c r="H22" s="20">
        <v>190000</v>
      </c>
      <c r="I22" s="23">
        <v>20</v>
      </c>
      <c r="J22" s="8">
        <f t="shared" si="0"/>
        <v>10</v>
      </c>
    </row>
    <row r="23" ht="17.25"/>
  </sheetData>
  <mergeCells count="1">
    <mergeCell ref="B2:C2"/>
  </mergeCells>
  <pageMargins left="0.511811024" right="0.511811024" top="0.787401575" bottom="0.787401575" header="0.31496062" footer="0.31496062"/>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9">
    <comment s:ref="D5" rgbClr="217AA0"/>
    <comment s:ref="D6" rgbClr="E3E4E0"/>
    <comment s:ref="D7" rgbClr="BDBBC0"/>
    <comment s:ref="D9" rgbClr="77DE00"/>
  </commentList>
  <commentList sheetStid="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Clebina</vt:lpstr>
      <vt:lpstr>Poderes</vt:lpstr>
      <vt:lpstr>Testes</vt:lpstr>
      <vt:lpstr>Livro de Fórmulas</vt:lpstr>
      <vt:lpstr>Inventário</vt:lpstr>
      <vt:lpstr>Perícias</vt:lpstr>
      <vt:lpstr>Perícias (Cópia)</vt:lpstr>
      <vt:lpstr>uns dados aí</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Segundo</dc:creator>
  <cp:lastModifiedBy>cebola</cp:lastModifiedBy>
  <dcterms:created xsi:type="dcterms:W3CDTF">2024-07-26T20:21:00Z</dcterms:created>
  <dcterms:modified xsi:type="dcterms:W3CDTF">2025-04-27T20:21:36Z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