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1PS.RU\Интранет 1PS.RU - Сайт 1PS.RU\1PS Блог\Ира\бизнес в интернете\"/>
    </mc:Choice>
  </mc:AlternateContent>
  <xr:revisionPtr revIDLastSave="0" documentId="8_{A987EA9D-5F20-4BB6-BB67-93885272B318}" xr6:coauthVersionLast="40" xr6:coauthVersionMax="40" xr10:uidLastSave="{00000000-0000-0000-0000-000000000000}"/>
  <bookViews>
    <workbookView xWindow="0" yWindow="0" windowWidth="15672" windowHeight="8328" tabRatio="334" xr2:uid="{00000000-000D-0000-FFFF-FFFF00000000}"/>
  </bookViews>
  <sheets>
    <sheet name="Busines Plan" sheetId="1" r:id="rId1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N7" i="1" l="1"/>
  <c r="AP7" i="1"/>
  <c r="AJ9" i="1"/>
  <c r="AJ10" i="1"/>
  <c r="AJ13" i="1"/>
  <c r="AJ14" i="1"/>
  <c r="AJ17" i="1"/>
  <c r="AJ18" i="1"/>
  <c r="B18" i="1"/>
  <c r="B17" i="1"/>
  <c r="B16" i="1"/>
  <c r="AJ16" i="1"/>
  <c r="B15" i="1"/>
  <c r="AJ15" i="1"/>
  <c r="B14" i="1"/>
  <c r="B13" i="1"/>
  <c r="B12" i="1"/>
  <c r="AJ12" i="1"/>
  <c r="B11" i="1"/>
  <c r="AJ11" i="1"/>
  <c r="B10" i="1"/>
  <c r="B9" i="1"/>
  <c r="B8" i="1"/>
  <c r="AJ8" i="1"/>
  <c r="B7" i="1"/>
  <c r="AJ7" i="1"/>
  <c r="AI7" i="1"/>
  <c r="O7" i="1"/>
  <c r="AN18" i="1"/>
  <c r="AP18" i="1"/>
  <c r="O18" i="1"/>
  <c r="I18" i="1"/>
  <c r="J18" i="1"/>
  <c r="AN8" i="1"/>
  <c r="AP8" i="1"/>
  <c r="AS8" i="1"/>
  <c r="AI8" i="1"/>
  <c r="AN9" i="1"/>
  <c r="AP9" i="1"/>
  <c r="AN10" i="1"/>
  <c r="AP10" i="1"/>
  <c r="AN11" i="1"/>
  <c r="AP11" i="1"/>
  <c r="AN12" i="1"/>
  <c r="AP12" i="1"/>
  <c r="AN13" i="1"/>
  <c r="AP13" i="1"/>
  <c r="AN14" i="1"/>
  <c r="AP14" i="1"/>
  <c r="AN15" i="1"/>
  <c r="AP15" i="1"/>
  <c r="AN16" i="1"/>
  <c r="AP16" i="1"/>
  <c r="AN17" i="1"/>
  <c r="AP17" i="1"/>
  <c r="J7" i="1"/>
  <c r="AU7" i="1"/>
  <c r="AV7" i="1"/>
  <c r="O8" i="1"/>
  <c r="J8" i="1"/>
  <c r="I8" i="1"/>
  <c r="O9" i="1"/>
  <c r="J9" i="1"/>
  <c r="O10" i="1"/>
  <c r="J10" i="1"/>
  <c r="O11" i="1"/>
  <c r="I11" i="1"/>
  <c r="J11" i="1"/>
  <c r="O12" i="1"/>
  <c r="J12" i="1"/>
  <c r="O13" i="1"/>
  <c r="J13" i="1"/>
  <c r="O14" i="1"/>
  <c r="J14" i="1"/>
  <c r="O15" i="1"/>
  <c r="J15" i="1"/>
  <c r="O16" i="1"/>
  <c r="J16" i="1"/>
  <c r="O17" i="1"/>
  <c r="J17" i="1"/>
  <c r="A8" i="1"/>
  <c r="A9" i="1"/>
  <c r="A10" i="1"/>
  <c r="A11" i="1"/>
  <c r="A12" i="1"/>
  <c r="A13" i="1"/>
  <c r="A14" i="1"/>
  <c r="A15" i="1"/>
  <c r="A16" i="1"/>
  <c r="A17" i="1"/>
  <c r="A18" i="1"/>
  <c r="AB11" i="1"/>
  <c r="AA11" i="1"/>
  <c r="AB18" i="1"/>
  <c r="AA18" i="1"/>
  <c r="AB8" i="1"/>
  <c r="AA8" i="1"/>
  <c r="I14" i="1"/>
  <c r="I12" i="1"/>
  <c r="I10" i="1"/>
  <c r="I16" i="1"/>
  <c r="AS9" i="1"/>
  <c r="AI9" i="1"/>
  <c r="AS10" i="1"/>
  <c r="AU8" i="1"/>
  <c r="I17" i="1"/>
  <c r="I15" i="1"/>
  <c r="I13" i="1"/>
  <c r="I9" i="1"/>
  <c r="I7" i="1"/>
  <c r="H18" i="1"/>
  <c r="H11" i="1"/>
  <c r="H8" i="1"/>
  <c r="AB17" i="1"/>
  <c r="AA17" i="1"/>
  <c r="AB12" i="1"/>
  <c r="AA12" i="1"/>
  <c r="H12" i="1"/>
  <c r="AL11" i="1"/>
  <c r="AK11" i="1"/>
  <c r="AA9" i="1"/>
  <c r="H9" i="1"/>
  <c r="AB9" i="1"/>
  <c r="AB14" i="1"/>
  <c r="AA14" i="1"/>
  <c r="H14" i="1"/>
  <c r="H7" i="1"/>
  <c r="AK7" i="1"/>
  <c r="AL7" i="1"/>
  <c r="AB7" i="1"/>
  <c r="AA7" i="1"/>
  <c r="H17" i="1"/>
  <c r="H13" i="1"/>
  <c r="AB13" i="1"/>
  <c r="AA13" i="1"/>
  <c r="AU9" i="1"/>
  <c r="AV9" i="1"/>
  <c r="AX9" i="1"/>
  <c r="AH9" i="1"/>
  <c r="AB16" i="1"/>
  <c r="AA16" i="1"/>
  <c r="H16" i="1"/>
  <c r="AK8" i="1"/>
  <c r="AL8" i="1"/>
  <c r="AL18" i="1"/>
  <c r="AK18" i="1"/>
  <c r="AB15" i="1"/>
  <c r="AA15" i="1"/>
  <c r="H15" i="1"/>
  <c r="AA10" i="1"/>
  <c r="H10" i="1"/>
  <c r="AB10" i="1"/>
  <c r="AV8" i="1"/>
  <c r="AX8" i="1"/>
  <c r="AH8" i="1"/>
  <c r="AS11" i="1"/>
  <c r="AU10" i="1"/>
  <c r="AV10" i="1"/>
  <c r="AX10" i="1"/>
  <c r="AH10" i="1"/>
  <c r="AI10" i="1"/>
  <c r="AK9" i="1"/>
  <c r="AL9" i="1"/>
  <c r="AW9" i="1"/>
  <c r="AG9" i="1"/>
  <c r="F9" i="1"/>
  <c r="D9" i="1"/>
  <c r="AC9" i="1"/>
  <c r="AK13" i="1"/>
  <c r="AL13" i="1"/>
  <c r="AK12" i="1"/>
  <c r="AL12" i="1"/>
  <c r="AK17" i="1"/>
  <c r="AL17" i="1"/>
  <c r="AK14" i="1"/>
  <c r="AL14" i="1"/>
  <c r="AK10" i="1"/>
  <c r="AL10" i="1"/>
  <c r="AW10" i="1"/>
  <c r="AG10" i="1"/>
  <c r="F10" i="1"/>
  <c r="D10" i="1"/>
  <c r="AC10" i="1"/>
  <c r="AK15" i="1"/>
  <c r="AL15" i="1"/>
  <c r="AK16" i="1"/>
  <c r="AL16" i="1"/>
  <c r="AW8" i="1"/>
  <c r="AG8" i="1"/>
  <c r="F8" i="1"/>
  <c r="D8" i="1"/>
  <c r="AC8" i="1"/>
  <c r="AI11" i="1"/>
  <c r="AU11" i="1"/>
  <c r="AV11" i="1"/>
  <c r="AS12" i="1"/>
  <c r="AU12" i="1"/>
  <c r="AV12" i="1"/>
  <c r="AI12" i="1"/>
  <c r="AS13" i="1"/>
  <c r="AX11" i="1"/>
  <c r="AH11" i="1"/>
  <c r="AW11" i="1"/>
  <c r="AG11" i="1"/>
  <c r="AU13" i="1"/>
  <c r="AV13" i="1"/>
  <c r="AS14" i="1"/>
  <c r="AI13" i="1"/>
  <c r="F11" i="1"/>
  <c r="D11" i="1"/>
  <c r="AC11" i="1"/>
  <c r="AX12" i="1"/>
  <c r="AH12" i="1"/>
  <c r="AW12" i="1"/>
  <c r="AG12" i="1"/>
  <c r="F12" i="1"/>
  <c r="D12" i="1"/>
  <c r="AC12" i="1"/>
  <c r="AS15" i="1"/>
  <c r="AU14" i="1"/>
  <c r="AV14" i="1"/>
  <c r="AI14" i="1"/>
  <c r="AX13" i="1"/>
  <c r="AH13" i="1"/>
  <c r="AW13" i="1"/>
  <c r="AG13" i="1"/>
  <c r="AX14" i="1"/>
  <c r="AH14" i="1"/>
  <c r="AW14" i="1"/>
  <c r="AG14" i="1"/>
  <c r="F14" i="1"/>
  <c r="D14" i="1"/>
  <c r="AC14" i="1"/>
  <c r="F13" i="1"/>
  <c r="D13" i="1"/>
  <c r="AC13" i="1"/>
  <c r="AI15" i="1"/>
  <c r="AU15" i="1"/>
  <c r="AV15" i="1"/>
  <c r="AS16" i="1"/>
  <c r="AU16" i="1"/>
  <c r="AV16" i="1"/>
  <c r="AS17" i="1"/>
  <c r="AI16" i="1"/>
  <c r="AX15" i="1"/>
  <c r="AH15" i="1"/>
  <c r="AW15" i="1"/>
  <c r="AG15" i="1"/>
  <c r="AU17" i="1"/>
  <c r="AS18" i="1"/>
  <c r="AI17" i="1"/>
  <c r="F15" i="1"/>
  <c r="D15" i="1"/>
  <c r="AC15" i="1"/>
  <c r="AX16" i="1"/>
  <c r="AH16" i="1"/>
  <c r="AW16" i="1"/>
  <c r="AG16" i="1"/>
  <c r="F16" i="1"/>
  <c r="D16" i="1"/>
  <c r="AC16" i="1"/>
  <c r="AU18" i="1"/>
  <c r="AV18" i="1"/>
  <c r="AI18" i="1"/>
  <c r="AV17" i="1"/>
  <c r="AX17" i="1"/>
  <c r="AH17" i="1"/>
  <c r="AW17" i="1"/>
  <c r="AG17" i="1"/>
  <c r="AX18" i="1"/>
  <c r="AH18" i="1"/>
  <c r="AW18" i="1"/>
  <c r="AG18" i="1"/>
  <c r="F17" i="1"/>
  <c r="D17" i="1"/>
  <c r="AC17" i="1"/>
  <c r="F18" i="1"/>
  <c r="AX7" i="1"/>
  <c r="AH7" i="1"/>
  <c r="G7" i="1"/>
  <c r="G8" i="1"/>
  <c r="G9" i="1"/>
  <c r="G10" i="1"/>
  <c r="G11" i="1"/>
  <c r="G12" i="1"/>
  <c r="G13" i="1"/>
  <c r="G14" i="1"/>
  <c r="G15" i="1"/>
  <c r="G16" i="1"/>
  <c r="G17" i="1"/>
  <c r="G18" i="1"/>
  <c r="AW7" i="1"/>
  <c r="AG7" i="1"/>
  <c r="F7" i="1"/>
  <c r="D18" i="1"/>
  <c r="AC18" i="1"/>
  <c r="D7" i="1"/>
  <c r="AC7" i="1"/>
  <c r="E7" i="1"/>
  <c r="E8" i="1"/>
  <c r="C7" i="1"/>
  <c r="E9" i="1"/>
  <c r="C8" i="1"/>
  <c r="E10" i="1"/>
  <c r="C9" i="1"/>
  <c r="E11" i="1"/>
  <c r="C10" i="1"/>
  <c r="E12" i="1"/>
  <c r="C11" i="1"/>
  <c r="E13" i="1"/>
  <c r="C12" i="1"/>
  <c r="E14" i="1"/>
  <c r="C13" i="1"/>
  <c r="E15" i="1"/>
  <c r="C14" i="1"/>
  <c r="E16" i="1"/>
  <c r="C15" i="1"/>
  <c r="E17" i="1"/>
  <c r="C16" i="1"/>
  <c r="E18" i="1"/>
  <c r="C18" i="1"/>
  <c r="C17" i="1"/>
</calcChain>
</file>

<file path=xl/sharedStrings.xml><?xml version="1.0" encoding="utf-8"?>
<sst xmlns="http://schemas.openxmlformats.org/spreadsheetml/2006/main" count="58" uniqueCount="57">
  <si>
    <t>Бизнес-план веб-студии</t>
  </si>
  <si>
    <t>* Aинасовые единицы - в тысячах рублей</t>
  </si>
  <si>
    <t>Месяцы</t>
  </si>
  <si>
    <t>Общие показатели бизнеса</t>
  </si>
  <si>
    <t>Блок расходов (Loss)</t>
  </si>
  <si>
    <t>Блок доходов (Profit)</t>
  </si>
  <si>
    <t>Расчет нагрузки на компанию</t>
  </si>
  <si>
    <t>рабочих часов в мес</t>
  </si>
  <si>
    <t>прибыль итого</t>
  </si>
  <si>
    <t>прибыль</t>
  </si>
  <si>
    <t>доход итогом (доход текущий мес + сумма доходов предыдущие мес)</t>
  </si>
  <si>
    <t>доход</t>
  </si>
  <si>
    <t>расход итогом</t>
  </si>
  <si>
    <t>расход</t>
  </si>
  <si>
    <t>ФОТ- общий</t>
  </si>
  <si>
    <t>ФОТ (на руки) - непроизводящие ресурсы</t>
  </si>
  <si>
    <t>Директор (CEO)</t>
  </si>
  <si>
    <t>Менеджер проекта</t>
  </si>
  <si>
    <t>Менеджер проекта 2</t>
  </si>
  <si>
    <t>Менеджер (аккаунт/сейлз)</t>
  </si>
  <si>
    <t>ФОТ (на руки) производство</t>
  </si>
  <si>
    <t>Дизайнер</t>
  </si>
  <si>
    <t>Программист (backend)</t>
  </si>
  <si>
    <t>Верстальщик (frontend)</t>
  </si>
  <si>
    <t>Контент-менеджер (служба поддержки)</t>
  </si>
  <si>
    <t>Дизайнер 2</t>
  </si>
  <si>
    <t>Дизайнер 3</t>
  </si>
  <si>
    <t>Программист2</t>
  </si>
  <si>
    <t>Программист 3</t>
  </si>
  <si>
    <t>Верстальщик 2</t>
  </si>
  <si>
    <t>верстальщик 3</t>
  </si>
  <si>
    <t>Контент-менеджер 2</t>
  </si>
  <si>
    <t>налоги</t>
  </si>
  <si>
    <t>отпуска</t>
  </si>
  <si>
    <t>УСН</t>
  </si>
  <si>
    <t>Условно-постоянные расходы (аренда офиса, комиссия банка, ТБО и спецавтохозяйство, содержание офиса, ПО и т.п. )</t>
  </si>
  <si>
    <t>Орг. и неучтенные расходы</t>
  </si>
  <si>
    <t>Маркетинг</t>
  </si>
  <si>
    <t>Новые сайты</t>
  </si>
  <si>
    <t>Доработки</t>
  </si>
  <si>
    <t>Клиенты на поддержке</t>
  </si>
  <si>
    <t>Объем часов производства</t>
  </si>
  <si>
    <t>K - коэффициент overhead</t>
  </si>
  <si>
    <t>Клиентская стоимость производства в месяц</t>
  </si>
  <si>
    <t>Cost Per Lead</t>
  </si>
  <si>
    <t>Leads</t>
  </si>
  <si>
    <t>Конверсия продажи новых</t>
  </si>
  <si>
    <t>Новые проекты/клиенты</t>
  </si>
  <si>
    <t>Конверсия  в поддержку</t>
  </si>
  <si>
    <t>Отток текущих клиентов</t>
  </si>
  <si>
    <t>Конверсия в дозаказы</t>
  </si>
  <si>
    <t>Дозаказы проектов</t>
  </si>
  <si>
    <t>Всего проектов в месяц</t>
  </si>
  <si>
    <t>Средняя стоимость проекта</t>
  </si>
  <si>
    <t>Средний объем проекта в часах</t>
  </si>
  <si>
    <t>Абонемент на поддержке</t>
  </si>
  <si>
    <t xml:space="preserve">Статью с подробным объяснением расчетов ищите по ссылке: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</si>
</sst>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\-??_р_._-;_-@_-"/>
    <numFmt numFmtId="165" formatCode="_-* #,##0_р_._-;\-* #,##0_р_._-;_-* \-??_р_._-;_-@_-"/>
    <numFmt numFmtId="166" formatCode="mmm\-yy"/>
    <numFmt numFmtId="167" formatCode="_-* #,##0.0_р_._-;\-* #,##0.0_р_._-;_-* \-??_р_._-;_-@_-"/>
    <numFmt numFmtId="168" formatCode="_-* #,##0.0_р_._-;\-* #,##0.0_р_._-;_-* \-?_р_._-;_-@_-"/>
  </numFmts>
  <fonts count="11">
    <font>
      <sz val="10"/>
      <name val="Arial Cyr"/>
      <charset val="204"/>
    </font>
    <font>
      <sz val="10"/>
      <name val="Arial Narrow"/>
      <family val="2"/>
      <charset val="204"/>
    </font>
    <font>
      <sz val="8"/>
      <name val="Arial Narrow"/>
      <family val="2"/>
      <charset val="204"/>
    </font>
    <font>
      <sz val="20"/>
      <name val="Calibri"/>
      <family val="2"/>
      <charset val="204"/>
    </font>
    <font>
      <sz val="9"/>
      <name val="Arial Narrow"/>
      <family val="2"/>
      <charset val="204"/>
    </font>
    <font>
      <b/>
      <sz val="9"/>
      <name val="Arial Narrow"/>
      <family val="2"/>
      <charset val="204"/>
    </font>
    <font>
      <b/>
      <sz val="8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8000"/>
      <name val="Arial Narrow"/>
      <family val="2"/>
      <charset val="204"/>
    </font>
    <font>
      <sz val="8"/>
      <color rgb="FFFF0000"/>
      <name val="Arial Narrow"/>
      <family val="2"/>
      <charset val="204"/>
    </font>
    <font>
      <sz val="10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theme="8" tint="0.59999389629810485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rgb="FFCCCCFF"/>
      </patternFill>
    </fill>
    <fill>
      <patternFill patternType="solid">
        <fgColor theme="9"/>
        <bgColor rgb="FF33CCCC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CC"/>
        <bgColor rgb="FFC0C0C0"/>
      </patternFill>
    </fill>
    <fill>
      <patternFill patternType="solid">
        <fgColor theme="9"/>
        <bgColor rgb="FFC0C0C0"/>
      </patternFill>
    </fill>
    <fill>
      <patternFill patternType="solid">
        <fgColor theme="7" tint="0.79998168889431442"/>
        <bgColor rgb="FFCCFFFF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ck">
        <color rgb="FF808080"/>
      </bottom>
      <diagonal/>
    </border>
    <border>
      <left style="thin">
        <color rgb="FF808080"/>
      </left>
      <right/>
      <top style="thick">
        <color rgb="FF808080"/>
      </top>
      <bottom style="thick">
        <color rgb="FF808080"/>
      </bottom>
      <diagonal/>
    </border>
    <border>
      <left style="thick">
        <color rgb="FF808080"/>
      </left>
      <right/>
      <top style="thick">
        <color rgb="FF808080"/>
      </top>
      <bottom style="thick">
        <color rgb="FF808080"/>
      </bottom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/>
      <top/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808080"/>
      </top>
      <bottom style="thin">
        <color rgb="FF808080"/>
      </bottom>
      <diagonal/>
    </border>
    <border>
      <left style="thin">
        <color rgb="FF808080"/>
      </left>
      <right/>
      <top style="thick">
        <color rgb="FF808080"/>
      </top>
      <bottom style="thin">
        <color rgb="FF808080"/>
      </bottom>
      <diagonal/>
    </border>
    <border>
      <left/>
      <right style="thick">
        <color rgb="FF808080"/>
      </right>
      <top/>
      <bottom style="thin">
        <color rgb="FF808080"/>
      </bottom>
      <diagonal/>
    </border>
    <border>
      <left style="thick">
        <color rgb="FF808080"/>
      </left>
      <right/>
      <top style="thin">
        <color rgb="FF808080"/>
      </top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ck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ck">
        <color rgb="FF808080"/>
      </left>
      <right/>
      <top style="thin">
        <color rgb="FF808080"/>
      </top>
      <bottom style="thick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thick">
        <color rgb="FF808080"/>
      </bottom>
      <diagonal/>
    </border>
    <border>
      <left style="thin">
        <color rgb="FF808080"/>
      </left>
      <right/>
      <top style="thin">
        <color rgb="FF808080"/>
      </top>
      <bottom style="thick">
        <color rgb="FF808080"/>
      </bottom>
      <diagonal/>
    </border>
    <border>
      <left/>
      <right style="thick">
        <color rgb="FF808080"/>
      </right>
      <top style="thin">
        <color rgb="FF808080"/>
      </top>
      <bottom style="thick">
        <color rgb="FF808080"/>
      </bottom>
      <diagonal/>
    </border>
    <border>
      <left/>
      <right/>
      <top style="thick">
        <color rgb="FF808080"/>
      </top>
      <bottom style="thick">
        <color rgb="FF8080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808080"/>
      </top>
      <bottom style="thin">
        <color rgb="FF808080"/>
      </bottom>
      <diagonal/>
    </border>
  </borders>
  <cellStyleXfs count="3">
    <xf numFmtId="0" fontId="0" fillId="0" borderId="0"/>
    <xf numFmtId="164" fontId="10" fillId="0" borderId="0" applyBorder="0" applyAlignment="0" applyProtection="0"/>
    <xf numFmtId="9" fontId="10" fillId="0" borderId="0" applyBorder="0" applyAlignment="0" applyProtection="0"/>
  </cellStyleXfs>
  <cellXfs count="93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3" xfId="0" applyFont="1" applyBorder="1"/>
    <xf numFmtId="0" fontId="2" fillId="0" borderId="3" xfId="0" applyFont="1" applyBorder="1"/>
    <xf numFmtId="0" fontId="1" fillId="0" borderId="8" xfId="0" applyFont="1" applyBorder="1"/>
    <xf numFmtId="0" fontId="1" fillId="0" borderId="9" xfId="0" applyFont="1" applyBorder="1" applyAlignment="1">
      <alignment textRotation="90" wrapText="1"/>
    </xf>
    <xf numFmtId="0" fontId="1" fillId="0" borderId="8" xfId="0" applyFont="1" applyBorder="1" applyAlignment="1">
      <alignment textRotation="90" wrapText="1"/>
    </xf>
    <xf numFmtId="0" fontId="1" fillId="0" borderId="1" xfId="0" applyFont="1" applyBorder="1" applyAlignment="1">
      <alignment textRotation="90" wrapText="1"/>
    </xf>
    <xf numFmtId="0" fontId="1" fillId="0" borderId="17" xfId="0" applyFont="1" applyBorder="1"/>
    <xf numFmtId="165" fontId="2" fillId="0" borderId="18" xfId="1" applyNumberFormat="1" applyFont="1" applyBorder="1" applyAlignment="1" applyProtection="1"/>
    <xf numFmtId="165" fontId="2" fillId="0" borderId="1" xfId="1" applyNumberFormat="1" applyFont="1" applyBorder="1" applyAlignment="1" applyProtection="1"/>
    <xf numFmtId="165" fontId="2" fillId="0" borderId="2" xfId="1" applyNumberFormat="1" applyFont="1" applyBorder="1" applyAlignment="1" applyProtection="1"/>
    <xf numFmtId="165" fontId="2" fillId="0" borderId="17" xfId="1" applyNumberFormat="1" applyFont="1" applyBorder="1" applyAlignment="1" applyProtection="1"/>
    <xf numFmtId="165" fontId="6" fillId="0" borderId="1" xfId="1" applyNumberFormat="1" applyFont="1" applyBorder="1" applyAlignment="1" applyProtection="1"/>
    <xf numFmtId="165" fontId="6" fillId="0" borderId="2" xfId="1" applyNumberFormat="1" applyFont="1" applyBorder="1" applyAlignment="1" applyProtection="1"/>
    <xf numFmtId="165" fontId="2" fillId="0" borderId="19" xfId="1" applyNumberFormat="1" applyFont="1" applyBorder="1" applyAlignment="1" applyProtection="1"/>
    <xf numFmtId="165" fontId="2" fillId="0" borderId="8" xfId="1" applyNumberFormat="1" applyFont="1" applyBorder="1" applyAlignment="1" applyProtection="1"/>
    <xf numFmtId="166" fontId="1" fillId="0" borderId="17" xfId="0" applyNumberFormat="1" applyFont="1" applyBorder="1" applyAlignment="1">
      <alignment horizontal="center"/>
    </xf>
    <xf numFmtId="165" fontId="6" fillId="0" borderId="18" xfId="1" applyNumberFormat="1" applyFont="1" applyBorder="1" applyAlignment="1" applyProtection="1"/>
    <xf numFmtId="165" fontId="8" fillId="0" borderId="1" xfId="1" applyNumberFormat="1" applyFont="1" applyBorder="1" applyAlignment="1" applyProtection="1"/>
    <xf numFmtId="165" fontId="9" fillId="0" borderId="1" xfId="1" applyNumberFormat="1" applyFont="1" applyBorder="1" applyAlignment="1" applyProtection="1"/>
    <xf numFmtId="165" fontId="9" fillId="0" borderId="2" xfId="1" applyNumberFormat="1" applyFont="1" applyBorder="1" applyAlignment="1" applyProtection="1"/>
    <xf numFmtId="167" fontId="6" fillId="0" borderId="1" xfId="1" applyNumberFormat="1" applyFont="1" applyBorder="1" applyAlignment="1" applyProtection="1"/>
    <xf numFmtId="9" fontId="2" fillId="0" borderId="1" xfId="2" applyFont="1" applyBorder="1" applyAlignment="1" applyProtection="1"/>
    <xf numFmtId="167" fontId="2" fillId="0" borderId="1" xfId="1" applyNumberFormat="1" applyFont="1" applyBorder="1" applyAlignment="1" applyProtection="1"/>
    <xf numFmtId="168" fontId="6" fillId="0" borderId="1" xfId="1" applyNumberFormat="1" applyFont="1" applyBorder="1" applyAlignment="1" applyProtection="1"/>
    <xf numFmtId="166" fontId="1" fillId="0" borderId="9" xfId="0" applyNumberFormat="1" applyFont="1" applyBorder="1" applyAlignment="1">
      <alignment horizontal="center"/>
    </xf>
    <xf numFmtId="165" fontId="6" fillId="0" borderId="13" xfId="1" applyNumberFormat="1" applyFont="1" applyBorder="1" applyAlignment="1" applyProtection="1"/>
    <xf numFmtId="165" fontId="6" fillId="0" borderId="11" xfId="1" applyNumberFormat="1" applyFont="1" applyBorder="1" applyAlignment="1" applyProtection="1"/>
    <xf numFmtId="165" fontId="8" fillId="0" borderId="11" xfId="1" applyNumberFormat="1" applyFont="1" applyBorder="1" applyAlignment="1" applyProtection="1"/>
    <xf numFmtId="165" fontId="9" fillId="0" borderId="11" xfId="1" applyNumberFormat="1" applyFont="1" applyBorder="1" applyAlignment="1" applyProtection="1"/>
    <xf numFmtId="165" fontId="2" fillId="0" borderId="11" xfId="1" applyNumberFormat="1" applyFont="1" applyBorder="1" applyAlignment="1" applyProtection="1"/>
    <xf numFmtId="165" fontId="2" fillId="0" borderId="12" xfId="1" applyNumberFormat="1" applyFont="1" applyBorder="1" applyAlignment="1" applyProtection="1"/>
    <xf numFmtId="9" fontId="2" fillId="0" borderId="11" xfId="2" applyFont="1" applyBorder="1" applyAlignment="1" applyProtection="1"/>
    <xf numFmtId="165" fontId="2" fillId="0" borderId="20" xfId="1" applyNumberFormat="1" applyFont="1" applyBorder="1" applyAlignment="1" applyProtection="1"/>
    <xf numFmtId="0" fontId="1" fillId="0" borderId="11" xfId="0" applyFont="1" applyBorder="1"/>
    <xf numFmtId="166" fontId="1" fillId="0" borderId="21" xfId="0" applyNumberFormat="1" applyFont="1" applyBorder="1" applyAlignment="1">
      <alignment horizontal="center"/>
    </xf>
    <xf numFmtId="165" fontId="6" fillId="0" borderId="22" xfId="1" applyNumberFormat="1" applyFont="1" applyBorder="1" applyAlignment="1" applyProtection="1"/>
    <xf numFmtId="165" fontId="6" fillId="0" borderId="4" xfId="1" applyNumberFormat="1" applyFont="1" applyBorder="1" applyAlignment="1" applyProtection="1"/>
    <xf numFmtId="165" fontId="8" fillId="0" borderId="4" xfId="1" applyNumberFormat="1" applyFont="1" applyBorder="1" applyAlignment="1" applyProtection="1"/>
    <xf numFmtId="165" fontId="9" fillId="0" borderId="4" xfId="1" applyNumberFormat="1" applyFont="1" applyBorder="1" applyAlignment="1" applyProtection="1"/>
    <xf numFmtId="165" fontId="9" fillId="0" borderId="23" xfId="1" applyNumberFormat="1" applyFont="1" applyBorder="1" applyAlignment="1" applyProtection="1"/>
    <xf numFmtId="165" fontId="2" fillId="0" borderId="22" xfId="1" applyNumberFormat="1" applyFont="1" applyBorder="1" applyAlignment="1" applyProtection="1"/>
    <xf numFmtId="165" fontId="2" fillId="0" borderId="4" xfId="1" applyNumberFormat="1" applyFont="1" applyBorder="1" applyAlignment="1" applyProtection="1"/>
    <xf numFmtId="165" fontId="2" fillId="0" borderId="23" xfId="1" applyNumberFormat="1" applyFont="1" applyBorder="1" applyAlignment="1" applyProtection="1"/>
    <xf numFmtId="167" fontId="6" fillId="0" borderId="4" xfId="1" applyNumberFormat="1" applyFont="1" applyBorder="1" applyAlignment="1" applyProtection="1"/>
    <xf numFmtId="9" fontId="2" fillId="0" borderId="4" xfId="2" applyFont="1" applyBorder="1" applyAlignment="1" applyProtection="1"/>
    <xf numFmtId="167" fontId="2" fillId="0" borderId="4" xfId="1" applyNumberFormat="1" applyFont="1" applyBorder="1" applyAlignment="1" applyProtection="1"/>
    <xf numFmtId="168" fontId="6" fillId="0" borderId="4" xfId="1" applyNumberFormat="1" applyFont="1" applyBorder="1" applyAlignment="1" applyProtection="1"/>
    <xf numFmtId="165" fontId="6" fillId="0" borderId="23" xfId="1" applyNumberFormat="1" applyFont="1" applyBorder="1" applyAlignment="1" applyProtection="1"/>
    <xf numFmtId="165" fontId="2" fillId="0" borderId="24" xfId="1" applyNumberFormat="1" applyFont="1" applyBorder="1" applyAlignment="1" applyProtection="1"/>
    <xf numFmtId="0" fontId="7" fillId="4" borderId="11" xfId="0" applyFont="1" applyFill="1" applyBorder="1" applyAlignment="1">
      <alignment textRotation="90" wrapText="1"/>
    </xf>
    <xf numFmtId="165" fontId="2" fillId="4" borderId="1" xfId="1" applyNumberFormat="1" applyFont="1" applyFill="1" applyBorder="1" applyAlignment="1" applyProtection="1"/>
    <xf numFmtId="165" fontId="2" fillId="4" borderId="4" xfId="1" applyNumberFormat="1" applyFont="1" applyFill="1" applyBorder="1" applyAlignment="1" applyProtection="1"/>
    <xf numFmtId="0" fontId="6" fillId="4" borderId="11" xfId="0" applyFont="1" applyFill="1" applyBorder="1" applyAlignment="1">
      <alignment textRotation="90" wrapText="1"/>
    </xf>
    <xf numFmtId="0" fontId="6" fillId="5" borderId="13" xfId="0" applyFont="1" applyFill="1" applyBorder="1" applyAlignment="1">
      <alignment textRotation="90" wrapText="1"/>
    </xf>
    <xf numFmtId="165" fontId="2" fillId="5" borderId="18" xfId="1" applyNumberFormat="1" applyFont="1" applyFill="1" applyBorder="1" applyAlignment="1" applyProtection="1"/>
    <xf numFmtId="165" fontId="2" fillId="5" borderId="22" xfId="1" applyNumberFormat="1" applyFont="1" applyFill="1" applyBorder="1" applyAlignment="1" applyProtection="1"/>
    <xf numFmtId="0" fontId="2" fillId="6" borderId="13" xfId="0" applyFont="1" applyFill="1" applyBorder="1" applyAlignment="1">
      <alignment textRotation="90" wrapText="1"/>
    </xf>
    <xf numFmtId="0" fontId="2" fillId="6" borderId="11" xfId="0" applyFont="1" applyFill="1" applyBorder="1" applyAlignment="1">
      <alignment textRotation="90" wrapText="1"/>
    </xf>
    <xf numFmtId="0" fontId="2" fillId="6" borderId="12" xfId="0" applyFont="1" applyFill="1" applyBorder="1" applyAlignment="1">
      <alignment textRotation="90" wrapText="1"/>
    </xf>
    <xf numFmtId="0" fontId="2" fillId="8" borderId="9" xfId="0" applyFont="1" applyFill="1" applyBorder="1" applyAlignment="1">
      <alignment textRotation="90" wrapText="1"/>
    </xf>
    <xf numFmtId="0" fontId="6" fillId="8" borderId="14" xfId="0" applyFont="1" applyFill="1" applyBorder="1" applyAlignment="1">
      <alignment textRotation="90" wrapText="1"/>
    </xf>
    <xf numFmtId="0" fontId="2" fillId="8" borderId="11" xfId="0" applyFont="1" applyFill="1" applyBorder="1" applyAlignment="1">
      <alignment textRotation="90" wrapText="1"/>
    </xf>
    <xf numFmtId="0" fontId="6" fillId="8" borderId="11" xfId="0" applyFont="1" applyFill="1" applyBorder="1" applyAlignment="1">
      <alignment textRotation="90" wrapText="1"/>
    </xf>
    <xf numFmtId="0" fontId="2" fillId="8" borderId="12" xfId="0" applyFont="1" applyFill="1" applyBorder="1" applyAlignment="1">
      <alignment textRotation="90" wrapText="1"/>
    </xf>
    <xf numFmtId="0" fontId="6" fillId="8" borderId="15" xfId="0" applyFont="1" applyFill="1" applyBorder="1" applyAlignment="1">
      <alignment textRotation="90" wrapText="1"/>
    </xf>
    <xf numFmtId="0" fontId="2" fillId="8" borderId="16" xfId="0" applyFont="1" applyFill="1" applyBorder="1" applyAlignment="1">
      <alignment textRotation="90" wrapText="1"/>
    </xf>
    <xf numFmtId="0" fontId="1" fillId="9" borderId="11" xfId="0" applyFont="1" applyFill="1" applyBorder="1" applyAlignment="1">
      <alignment textRotation="90" wrapText="1"/>
    </xf>
    <xf numFmtId="0" fontId="6" fillId="9" borderId="11" xfId="0" applyFont="1" applyFill="1" applyBorder="1" applyAlignment="1">
      <alignment textRotation="90" wrapText="1"/>
    </xf>
    <xf numFmtId="0" fontId="6" fillId="9" borderId="12" xfId="0" applyFont="1" applyFill="1" applyBorder="1" applyAlignment="1">
      <alignment textRotation="90" wrapText="1"/>
    </xf>
    <xf numFmtId="0" fontId="1" fillId="10" borderId="11" xfId="0" applyFont="1" applyFill="1" applyBorder="1" applyAlignment="1">
      <alignment textRotation="90" wrapText="1"/>
    </xf>
    <xf numFmtId="0" fontId="1" fillId="0" borderId="2" xfId="0" applyFont="1" applyBorder="1"/>
    <xf numFmtId="1" fontId="1" fillId="0" borderId="17" xfId="0" applyNumberFormat="1" applyFont="1" applyBorder="1" applyAlignment="1">
      <alignment horizontal="center"/>
    </xf>
    <xf numFmtId="0" fontId="6" fillId="12" borderId="11" xfId="0" applyFont="1" applyFill="1" applyBorder="1" applyAlignment="1">
      <alignment textRotation="90" wrapText="1"/>
    </xf>
    <xf numFmtId="0" fontId="6" fillId="12" borderId="10" xfId="0" applyFont="1" applyFill="1" applyBorder="1" applyAlignment="1">
      <alignment textRotation="90" wrapText="1"/>
    </xf>
    <xf numFmtId="0" fontId="6" fillId="13" borderId="11" xfId="0" applyFont="1" applyFill="1" applyBorder="1" applyAlignment="1">
      <alignment textRotation="90" wrapText="1"/>
    </xf>
    <xf numFmtId="0" fontId="6" fillId="11" borderId="11" xfId="0" applyFont="1" applyFill="1" applyBorder="1" applyAlignment="1">
      <alignment textRotation="90" wrapText="1"/>
    </xf>
    <xf numFmtId="0" fontId="6" fillId="11" borderId="12" xfId="0" applyFont="1" applyFill="1" applyBorder="1" applyAlignment="1">
      <alignment textRotation="90" wrapText="1"/>
    </xf>
    <xf numFmtId="164" fontId="6" fillId="0" borderId="1" xfId="1" applyNumberFormat="1" applyFont="1" applyBorder="1" applyAlignment="1" applyProtection="1"/>
    <xf numFmtId="0" fontId="2" fillId="0" borderId="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Z27"/>
  <sheetViews>
    <sheetView tabSelected="1" topLeftCell="A4" zoomScaleNormal="100" workbookViewId="0" xr3:uid="{AEA406A1-0E4B-5B11-9CD5-51D6E497D94C}">
      <pane xSplit="1" topLeftCell="B1" activePane="topRight" state="frozen"/>
      <selection pane="topRight" activeCell="N21" sqref="N21"/>
    </sheetView>
  </sheetViews>
  <sheetFormatPr defaultRowHeight="13.9" outlineLevelRow="1" outlineLevelCol="1"/>
  <cols>
    <col min="1" max="1" width="11.140625" style="1" customWidth="1"/>
    <col min="2" max="2" width="5.85546875" style="1" customWidth="1"/>
    <col min="3" max="3" width="7.42578125" style="2" customWidth="1" outlineLevel="1"/>
    <col min="4" max="4" width="6.85546875" style="2" customWidth="1" outlineLevel="1"/>
    <col min="5" max="5" width="6.7109375" style="2" customWidth="1" outlineLevel="1"/>
    <col min="6" max="6" width="7.140625" style="2" customWidth="1" outlineLevel="1"/>
    <col min="7" max="8" width="7" style="2" customWidth="1" outlineLevel="1"/>
    <col min="9" max="9" width="7" style="2" customWidth="1"/>
    <col min="10" max="10" width="7" style="2" customWidth="1" outlineLevel="1"/>
    <col min="11" max="11" width="4.28515625" style="1" customWidth="1" outlineLevel="1"/>
    <col min="12" max="12" width="4.140625" style="1" customWidth="1" outlineLevel="1"/>
    <col min="13" max="13" width="5" style="1" customWidth="1" outlineLevel="1"/>
    <col min="14" max="14" width="4.5703125" style="1" customWidth="1" outlineLevel="1"/>
    <col min="15" max="15" width="5.7109375" style="1" customWidth="1" outlineLevel="1"/>
    <col min="16" max="16" width="4.7109375" style="1" customWidth="1" outlineLevel="1"/>
    <col min="17" max="17" width="4.5703125" style="1" customWidth="1" outlineLevel="1"/>
    <col min="18" max="18" width="4.7109375" style="1" customWidth="1" outlineLevel="1"/>
    <col min="19" max="19" width="5.7109375" style="1" customWidth="1" outlineLevel="1"/>
    <col min="20" max="20" width="4.28515625" style="1" customWidth="1" outlineLevel="1"/>
    <col min="21" max="21" width="4.5703125" style="1" customWidth="1" outlineLevel="1"/>
    <col min="22" max="22" width="4.28515625" style="1" customWidth="1" outlineLevel="1"/>
    <col min="23" max="23" width="4.140625" style="1" customWidth="1" outlineLevel="1"/>
    <col min="24" max="24" width="4.28515625" style="1" customWidth="1" outlineLevel="1"/>
    <col min="25" max="25" width="4.28515625" style="1" bestFit="1" customWidth="1" outlineLevel="1"/>
    <col min="26" max="26" width="4.28515625" style="1" customWidth="1" outlineLevel="1"/>
    <col min="27" max="30" width="6.28515625" style="2" customWidth="1"/>
    <col min="31" max="31" width="5.85546875" style="2" customWidth="1"/>
    <col min="32" max="32" width="7.28515625" style="2" customWidth="1"/>
    <col min="33" max="35" width="6.5703125" style="1" customWidth="1"/>
    <col min="36" max="36" width="6.42578125" style="2" customWidth="1"/>
    <col min="37" max="37" width="5.5703125" style="2" customWidth="1"/>
    <col min="38" max="38" width="7.5703125" style="2" customWidth="1"/>
    <col min="39" max="39" width="6.7109375" style="2" customWidth="1"/>
    <col min="40" max="41" width="5.5703125" style="2" customWidth="1"/>
    <col min="42" max="42" width="6.28515625" style="2" customWidth="1"/>
    <col min="43" max="51" width="6.140625" style="2" customWidth="1"/>
    <col min="52" max="260" width="9.140625" style="1" customWidth="1"/>
    <col min="261" max="1028" width="9.140625" customWidth="1"/>
  </cols>
  <sheetData>
    <row r="1" spans="1:52">
      <c r="B1" s="73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 spans="1:52" ht="14.45" thickBot="1">
      <c r="B2" s="73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spans="1:52" ht="14.45" hidden="1" outlineLevel="1" thickBot="1">
      <c r="A3" s="3"/>
      <c r="B3" s="3"/>
      <c r="C3" s="88" t="s">
        <v>1</v>
      </c>
      <c r="D3" s="88"/>
      <c r="E3" s="88"/>
      <c r="F3" s="88"/>
      <c r="G3" s="88"/>
      <c r="H3" s="88"/>
      <c r="I3" s="4"/>
      <c r="J3" s="4"/>
      <c r="K3" s="3">
        <v>1</v>
      </c>
      <c r="L3" s="3">
        <v>2</v>
      </c>
      <c r="M3" s="3">
        <v>11</v>
      </c>
      <c r="N3" s="3">
        <v>15</v>
      </c>
      <c r="O3" s="3"/>
      <c r="P3" s="3">
        <v>3</v>
      </c>
      <c r="Q3" s="3">
        <v>4</v>
      </c>
      <c r="R3" s="3">
        <v>5</v>
      </c>
      <c r="S3" s="3">
        <v>6</v>
      </c>
      <c r="T3" s="3">
        <v>7</v>
      </c>
      <c r="U3" s="3">
        <v>12</v>
      </c>
      <c r="V3" s="3">
        <v>8</v>
      </c>
      <c r="W3" s="3">
        <v>13</v>
      </c>
      <c r="X3" s="3">
        <v>9</v>
      </c>
      <c r="Y3" s="3">
        <v>14</v>
      </c>
      <c r="Z3" s="3">
        <v>10</v>
      </c>
      <c r="AA3" s="4"/>
      <c r="AB3" s="4"/>
      <c r="AC3" s="4"/>
      <c r="AD3" s="4"/>
      <c r="AE3" s="4"/>
      <c r="AF3" s="4"/>
      <c r="AG3" s="3"/>
      <c r="AH3" s="3"/>
      <c r="AI3" s="3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2" ht="15" collapsed="1" thickTop="1" thickBot="1">
      <c r="A4" s="84" t="s">
        <v>2</v>
      </c>
      <c r="B4" s="85"/>
      <c r="C4" s="89" t="s">
        <v>3</v>
      </c>
      <c r="D4" s="90"/>
      <c r="E4" s="90"/>
      <c r="F4" s="90"/>
      <c r="G4" s="90"/>
      <c r="H4" s="90"/>
      <c r="I4" s="91" t="s">
        <v>4</v>
      </c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2" t="s">
        <v>5</v>
      </c>
      <c r="AH4" s="92"/>
      <c r="AI4" s="92"/>
      <c r="AJ4" s="86" t="s">
        <v>6</v>
      </c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5"/>
    </row>
    <row r="5" spans="1:52" s="8" customFormat="1" ht="107.25" customHeight="1" thickTop="1">
      <c r="A5" s="6"/>
      <c r="B5" s="6" t="s">
        <v>7</v>
      </c>
      <c r="C5" s="76" t="s">
        <v>8</v>
      </c>
      <c r="D5" s="75" t="s">
        <v>9</v>
      </c>
      <c r="E5" s="77" t="s">
        <v>10</v>
      </c>
      <c r="F5" s="77" t="s">
        <v>11</v>
      </c>
      <c r="G5" s="78" t="s">
        <v>12</v>
      </c>
      <c r="H5" s="79" t="s">
        <v>13</v>
      </c>
      <c r="I5" s="56" t="s">
        <v>14</v>
      </c>
      <c r="J5" s="55" t="s">
        <v>15</v>
      </c>
      <c r="K5" s="72" t="s">
        <v>16</v>
      </c>
      <c r="L5" s="72" t="s">
        <v>17</v>
      </c>
      <c r="M5" s="72" t="s">
        <v>18</v>
      </c>
      <c r="N5" s="72" t="s">
        <v>19</v>
      </c>
      <c r="O5" s="52" t="s">
        <v>20</v>
      </c>
      <c r="P5" s="69" t="s">
        <v>21</v>
      </c>
      <c r="Q5" s="69" t="s">
        <v>22</v>
      </c>
      <c r="R5" s="69" t="s">
        <v>23</v>
      </c>
      <c r="S5" s="69" t="s">
        <v>24</v>
      </c>
      <c r="T5" s="69" t="s">
        <v>25</v>
      </c>
      <c r="U5" s="69" t="s">
        <v>26</v>
      </c>
      <c r="V5" s="69" t="s">
        <v>27</v>
      </c>
      <c r="W5" s="69" t="s">
        <v>28</v>
      </c>
      <c r="X5" s="69" t="s">
        <v>29</v>
      </c>
      <c r="Y5" s="69" t="s">
        <v>30</v>
      </c>
      <c r="Z5" s="69" t="s">
        <v>31</v>
      </c>
      <c r="AA5" s="70" t="s">
        <v>32</v>
      </c>
      <c r="AB5" s="70" t="s">
        <v>33</v>
      </c>
      <c r="AC5" s="70" t="s">
        <v>34</v>
      </c>
      <c r="AD5" s="70" t="s">
        <v>35</v>
      </c>
      <c r="AE5" s="70" t="s">
        <v>36</v>
      </c>
      <c r="AF5" s="71" t="s">
        <v>37</v>
      </c>
      <c r="AG5" s="59" t="s">
        <v>38</v>
      </c>
      <c r="AH5" s="60" t="s">
        <v>39</v>
      </c>
      <c r="AI5" s="61" t="s">
        <v>40</v>
      </c>
      <c r="AJ5" s="62" t="s">
        <v>41</v>
      </c>
      <c r="AK5" s="63" t="s">
        <v>42</v>
      </c>
      <c r="AL5" s="64" t="s">
        <v>43</v>
      </c>
      <c r="AM5" s="64" t="s">
        <v>44</v>
      </c>
      <c r="AN5" s="64" t="s">
        <v>45</v>
      </c>
      <c r="AO5" s="64" t="s">
        <v>46</v>
      </c>
      <c r="AP5" s="64" t="s">
        <v>47</v>
      </c>
      <c r="AQ5" s="64" t="s">
        <v>48</v>
      </c>
      <c r="AR5" s="64" t="s">
        <v>49</v>
      </c>
      <c r="AS5" s="65" t="s">
        <v>40</v>
      </c>
      <c r="AT5" s="64" t="s">
        <v>50</v>
      </c>
      <c r="AU5" s="64" t="s">
        <v>51</v>
      </c>
      <c r="AV5" s="66" t="s">
        <v>52</v>
      </c>
      <c r="AW5" s="67" t="s">
        <v>53</v>
      </c>
      <c r="AX5" s="63" t="s">
        <v>54</v>
      </c>
      <c r="AY5" s="68" t="s">
        <v>55</v>
      </c>
      <c r="AZ5" s="7"/>
    </row>
    <row r="6" spans="1:52">
      <c r="A6" s="9"/>
      <c r="B6" s="9"/>
      <c r="C6" s="10"/>
      <c r="D6" s="11"/>
      <c r="E6" s="11"/>
      <c r="F6" s="11"/>
      <c r="G6" s="11"/>
      <c r="H6" s="12"/>
      <c r="I6" s="57"/>
      <c r="J6" s="53"/>
      <c r="K6" s="11"/>
      <c r="L6" s="11"/>
      <c r="M6" s="11"/>
      <c r="N6" s="11"/>
      <c r="O6" s="53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2"/>
      <c r="AG6" s="10"/>
      <c r="AH6" s="11"/>
      <c r="AI6" s="12"/>
      <c r="AJ6" s="13"/>
      <c r="AK6" s="14"/>
      <c r="AL6" s="11"/>
      <c r="AM6" s="11"/>
      <c r="AN6" s="11"/>
      <c r="AO6" s="11"/>
      <c r="AP6" s="11"/>
      <c r="AQ6" s="11"/>
      <c r="AR6" s="11"/>
      <c r="AS6" s="14"/>
      <c r="AT6" s="11"/>
      <c r="AU6" s="11"/>
      <c r="AV6" s="12"/>
      <c r="AW6" s="15"/>
      <c r="AX6" s="14"/>
      <c r="AY6" s="16"/>
      <c r="AZ6" s="17"/>
    </row>
    <row r="7" spans="1:52">
      <c r="A7" s="18">
        <v>43475</v>
      </c>
      <c r="B7" s="74">
        <f>17*8</f>
        <v>136</v>
      </c>
      <c r="C7" s="19">
        <f>E7-G7</f>
        <v>59.221540000000061</v>
      </c>
      <c r="D7" s="14">
        <f>F7-H7</f>
        <v>69.672400000000039</v>
      </c>
      <c r="E7" s="20">
        <f>F7-AC7</f>
        <v>407.58354000000008</v>
      </c>
      <c r="F7" s="20">
        <f>SUM(AG7:AI7)</f>
        <v>418.03440000000006</v>
      </c>
      <c r="G7" s="21">
        <f>H7</f>
        <v>348.36200000000002</v>
      </c>
      <c r="H7" s="22">
        <f>SUM(I7,AA7,AE7,AF7,AB7,AD7)</f>
        <v>348.36200000000002</v>
      </c>
      <c r="I7" s="57">
        <f t="shared" ref="I7:I18" si="0">SUM(J7,O7)</f>
        <v>175</v>
      </c>
      <c r="J7" s="53">
        <f t="shared" ref="J7:J18" si="1">SUM(K7:N7)</f>
        <v>70</v>
      </c>
      <c r="K7" s="11">
        <v>40</v>
      </c>
      <c r="L7" s="11">
        <v>30</v>
      </c>
      <c r="M7" s="11"/>
      <c r="N7" s="11"/>
      <c r="O7" s="53">
        <f t="shared" ref="O7:O18" si="2">SUM(P7:Z7)</f>
        <v>105</v>
      </c>
      <c r="P7" s="11">
        <v>30</v>
      </c>
      <c r="Q7" s="11">
        <v>30</v>
      </c>
      <c r="R7" s="11">
        <v>25</v>
      </c>
      <c r="S7" s="11">
        <v>20</v>
      </c>
      <c r="T7" s="11"/>
      <c r="U7" s="11"/>
      <c r="V7" s="11"/>
      <c r="W7" s="11"/>
      <c r="X7" s="11"/>
      <c r="Y7" s="11"/>
      <c r="Z7" s="11"/>
      <c r="AA7" s="11">
        <f>43%*I7</f>
        <v>75.25</v>
      </c>
      <c r="AB7" s="11">
        <f>10%*I7</f>
        <v>17.5</v>
      </c>
      <c r="AC7" s="11">
        <f>15%*D7</f>
        <v>10.450860000000006</v>
      </c>
      <c r="AD7" s="11">
        <v>30</v>
      </c>
      <c r="AE7" s="11">
        <v>20</v>
      </c>
      <c r="AF7" s="12">
        <v>30.611999999999998</v>
      </c>
      <c r="AG7" s="10">
        <f>AP7*AW7</f>
        <v>418.03440000000006</v>
      </c>
      <c r="AH7" s="11">
        <f t="shared" ref="AH7:AH18" si="3">AU7*AX7</f>
        <v>0</v>
      </c>
      <c r="AI7" s="12">
        <f>AS7*AY7</f>
        <v>0</v>
      </c>
      <c r="AJ7" s="13">
        <f>COUNTA(P7:Z7)*B7</f>
        <v>544</v>
      </c>
      <c r="AK7" s="80">
        <f>(H7/O7)*1.2</f>
        <v>3.9812799999999999</v>
      </c>
      <c r="AL7" s="11">
        <f>AK7*O7</f>
        <v>418.03440000000001</v>
      </c>
      <c r="AM7" s="11">
        <v>2</v>
      </c>
      <c r="AN7" s="11">
        <f>AF7/AM7</f>
        <v>15.305999999999999</v>
      </c>
      <c r="AO7" s="24">
        <v>0.21</v>
      </c>
      <c r="AP7" s="25">
        <f>AN7*AO7</f>
        <v>3.2142599999999999</v>
      </c>
      <c r="AQ7" s="24">
        <v>0.2</v>
      </c>
      <c r="AR7" s="24">
        <v>0.1</v>
      </c>
      <c r="AS7" s="14">
        <v>0</v>
      </c>
      <c r="AT7" s="24">
        <v>0.2</v>
      </c>
      <c r="AU7" s="25">
        <f t="shared" ref="AU7:AU18" si="4">AS7*AT7</f>
        <v>0</v>
      </c>
      <c r="AV7" s="12">
        <f t="shared" ref="AV7:AV18" si="5">AP7+AU7</f>
        <v>3.2142599999999999</v>
      </c>
      <c r="AW7" s="15">
        <f>AL7/AV7</f>
        <v>130.05618711616361</v>
      </c>
      <c r="AX7" s="14">
        <f>AJ7/AV7</f>
        <v>169.24579841083172</v>
      </c>
      <c r="AY7" s="16">
        <v>10</v>
      </c>
      <c r="AZ7" s="17"/>
    </row>
    <row r="8" spans="1:52">
      <c r="A8" s="18">
        <f t="shared" ref="A8:A18" si="6">A7+30</f>
        <v>43505</v>
      </c>
      <c r="B8" s="74">
        <f>20*8</f>
        <v>160</v>
      </c>
      <c r="C8" s="19">
        <f t="shared" ref="C8:C17" si="7">E8-G8</f>
        <v>127.85577076923084</v>
      </c>
      <c r="D8" s="14">
        <f t="shared" ref="D8:D17" si="8">F8-H8</f>
        <v>80.746153846153845</v>
      </c>
      <c r="E8" s="20">
        <f>SUM(E7,F8)-AC8</f>
        <v>786.46777076923092</v>
      </c>
      <c r="F8" s="20">
        <f t="shared" ref="F8:F18" si="9">SUM(AG8:AI8)</f>
        <v>390.99615384615385</v>
      </c>
      <c r="G8" s="21">
        <f t="shared" ref="G8:G18" si="10">SUM(G7,H8)</f>
        <v>658.61200000000008</v>
      </c>
      <c r="H8" s="22">
        <f t="shared" ref="H8:H18" si="11">SUM(I8,AA8,AE8,AF8)</f>
        <v>310.25</v>
      </c>
      <c r="I8" s="57">
        <f t="shared" si="0"/>
        <v>175</v>
      </c>
      <c r="J8" s="53">
        <f t="shared" si="1"/>
        <v>70</v>
      </c>
      <c r="K8" s="11">
        <v>40</v>
      </c>
      <c r="L8" s="11">
        <v>30</v>
      </c>
      <c r="M8" s="11"/>
      <c r="N8" s="11"/>
      <c r="O8" s="53">
        <f t="shared" si="2"/>
        <v>105</v>
      </c>
      <c r="P8" s="11">
        <v>30</v>
      </c>
      <c r="Q8" s="11">
        <v>30</v>
      </c>
      <c r="R8" s="11">
        <v>25</v>
      </c>
      <c r="S8" s="11">
        <v>20</v>
      </c>
      <c r="T8" s="11"/>
      <c r="U8" s="11"/>
      <c r="V8" s="11"/>
      <c r="W8" s="11"/>
      <c r="X8" s="11"/>
      <c r="Y8" s="11"/>
      <c r="Z8" s="11"/>
      <c r="AA8" s="11">
        <f t="shared" ref="AA8:AA18" si="12">43%*I8</f>
        <v>75.25</v>
      </c>
      <c r="AB8" s="11">
        <f t="shared" ref="AB8:AB18" si="13">10%*I8</f>
        <v>17.5</v>
      </c>
      <c r="AC8" s="11">
        <f t="shared" ref="AC8:AC18" si="14">15%*D8</f>
        <v>12.111923076923077</v>
      </c>
      <c r="AD8" s="11">
        <v>30</v>
      </c>
      <c r="AE8" s="11">
        <v>20</v>
      </c>
      <c r="AF8" s="12">
        <v>40</v>
      </c>
      <c r="AG8" s="10">
        <f t="shared" ref="AG8:AG18" si="15">AP8*AW8</f>
        <v>357.98076923076923</v>
      </c>
      <c r="AH8" s="11">
        <f t="shared" si="3"/>
        <v>24.61538461538462</v>
      </c>
      <c r="AI8" s="12">
        <f t="shared" ref="AI8:AI18" si="16">AS8*AY8</f>
        <v>8.4</v>
      </c>
      <c r="AJ8" s="13">
        <f t="shared" ref="AJ8:AJ18" si="17">COUNTA(P8:Z8)*B8</f>
        <v>640</v>
      </c>
      <c r="AK8" s="23">
        <f>(H8/O8)*1.2</f>
        <v>3.5457142857142858</v>
      </c>
      <c r="AL8" s="11">
        <f t="shared" ref="AL8:AL18" si="18">O8*AK8</f>
        <v>372.3</v>
      </c>
      <c r="AM8" s="11">
        <v>2</v>
      </c>
      <c r="AN8" s="11">
        <f>AF8/AM8</f>
        <v>20</v>
      </c>
      <c r="AO8" s="24">
        <v>0.21</v>
      </c>
      <c r="AP8" s="25">
        <f t="shared" ref="AP8:AP18" si="19">AN8*AO8</f>
        <v>4.2</v>
      </c>
      <c r="AQ8" s="24">
        <v>0.2</v>
      </c>
      <c r="AR8" s="24">
        <v>0.1</v>
      </c>
      <c r="AS8" s="26">
        <f t="shared" ref="AS8:AS18" si="20">(AS7*(100%-AR7))+(AP8*AQ8)</f>
        <v>0.84000000000000008</v>
      </c>
      <c r="AT8" s="24">
        <v>0.2</v>
      </c>
      <c r="AU8" s="25">
        <f t="shared" si="4"/>
        <v>0.16800000000000004</v>
      </c>
      <c r="AV8" s="12">
        <f t="shared" si="5"/>
        <v>4.3680000000000003</v>
      </c>
      <c r="AW8" s="15">
        <f>AL8/AV8</f>
        <v>85.233516483516482</v>
      </c>
      <c r="AX8" s="14">
        <f>AJ8/AV8</f>
        <v>146.52014652014651</v>
      </c>
      <c r="AY8" s="16">
        <v>10</v>
      </c>
      <c r="AZ8" s="17"/>
    </row>
    <row r="9" spans="1:52">
      <c r="A9" s="18">
        <f t="shared" si="6"/>
        <v>43535</v>
      </c>
      <c r="B9" s="74">
        <f>20*8</f>
        <v>160</v>
      </c>
      <c r="C9" s="19">
        <f t="shared" si="7"/>
        <v>211.64004172731461</v>
      </c>
      <c r="D9" s="14">
        <f t="shared" si="8"/>
        <v>98.569730538922158</v>
      </c>
      <c r="E9" s="20">
        <f>SUM(E8,F9)-AC9</f>
        <v>1190.5020417273147</v>
      </c>
      <c r="F9" s="20">
        <f t="shared" si="9"/>
        <v>418.81973053892216</v>
      </c>
      <c r="G9" s="21">
        <f t="shared" si="10"/>
        <v>978.86200000000008</v>
      </c>
      <c r="H9" s="22">
        <f t="shared" si="11"/>
        <v>320.25</v>
      </c>
      <c r="I9" s="57">
        <f t="shared" si="0"/>
        <v>175</v>
      </c>
      <c r="J9" s="53">
        <f t="shared" si="1"/>
        <v>70</v>
      </c>
      <c r="K9" s="11">
        <v>40</v>
      </c>
      <c r="L9" s="11">
        <v>30</v>
      </c>
      <c r="M9" s="11"/>
      <c r="N9" s="11"/>
      <c r="O9" s="53">
        <f t="shared" si="2"/>
        <v>105</v>
      </c>
      <c r="P9" s="11">
        <v>30</v>
      </c>
      <c r="Q9" s="11">
        <v>30</v>
      </c>
      <c r="R9" s="11">
        <v>25</v>
      </c>
      <c r="S9" s="11">
        <v>20</v>
      </c>
      <c r="T9" s="11"/>
      <c r="U9" s="11"/>
      <c r="V9" s="11"/>
      <c r="W9" s="11"/>
      <c r="X9" s="11"/>
      <c r="Y9" s="11"/>
      <c r="Z9" s="11"/>
      <c r="AA9" s="11">
        <f t="shared" si="12"/>
        <v>75.25</v>
      </c>
      <c r="AB9" s="11">
        <f t="shared" si="13"/>
        <v>17.5</v>
      </c>
      <c r="AC9" s="11">
        <f t="shared" si="14"/>
        <v>14.785459580838323</v>
      </c>
      <c r="AD9" s="11">
        <v>30</v>
      </c>
      <c r="AE9" s="11">
        <v>20</v>
      </c>
      <c r="AF9" s="12">
        <v>50</v>
      </c>
      <c r="AG9" s="10">
        <f t="shared" si="15"/>
        <v>359.56212574850298</v>
      </c>
      <c r="AH9" s="11">
        <f t="shared" si="3"/>
        <v>41.197604790419163</v>
      </c>
      <c r="AI9" s="12">
        <f t="shared" si="16"/>
        <v>18.060000000000002</v>
      </c>
      <c r="AJ9" s="13">
        <f t="shared" si="17"/>
        <v>640</v>
      </c>
      <c r="AK9" s="23">
        <f>(H9/O9)*1.2</f>
        <v>3.6599999999999997</v>
      </c>
      <c r="AL9" s="11">
        <f t="shared" si="18"/>
        <v>384.29999999999995</v>
      </c>
      <c r="AM9" s="11">
        <v>2</v>
      </c>
      <c r="AN9" s="11">
        <f>AF9/AM9</f>
        <v>25</v>
      </c>
      <c r="AO9" s="24">
        <v>0.21</v>
      </c>
      <c r="AP9" s="25">
        <f t="shared" si="19"/>
        <v>5.25</v>
      </c>
      <c r="AQ9" s="24">
        <v>0.2</v>
      </c>
      <c r="AR9" s="24">
        <v>0.1</v>
      </c>
      <c r="AS9" s="26">
        <f t="shared" si="20"/>
        <v>1.806</v>
      </c>
      <c r="AT9" s="24">
        <v>0.2</v>
      </c>
      <c r="AU9" s="25">
        <f t="shared" si="4"/>
        <v>0.36120000000000002</v>
      </c>
      <c r="AV9" s="12">
        <f t="shared" si="5"/>
        <v>5.6112000000000002</v>
      </c>
      <c r="AW9" s="15">
        <f>AL9/AV9</f>
        <v>68.488023952095801</v>
      </c>
      <c r="AX9" s="14">
        <f>AJ9/AV9</f>
        <v>114.0575990875392</v>
      </c>
      <c r="AY9" s="16">
        <v>10</v>
      </c>
      <c r="AZ9" s="17"/>
    </row>
    <row r="10" spans="1:52">
      <c r="A10" s="18">
        <f t="shared" si="6"/>
        <v>43565</v>
      </c>
      <c r="B10" s="74">
        <f>22*8</f>
        <v>176</v>
      </c>
      <c r="C10" s="19">
        <f>E10-G10</f>
        <v>370.87493795904356</v>
      </c>
      <c r="D10" s="14">
        <f t="shared" si="8"/>
        <v>187.33517203732799</v>
      </c>
      <c r="E10" s="20">
        <f>SUM(E9,F10)-AC10</f>
        <v>1861.5869379590436</v>
      </c>
      <c r="F10" s="20">
        <f t="shared" si="9"/>
        <v>699.18517203732802</v>
      </c>
      <c r="G10" s="21">
        <f t="shared" si="10"/>
        <v>1490.712</v>
      </c>
      <c r="H10" s="22">
        <f t="shared" si="11"/>
        <v>511.85</v>
      </c>
      <c r="I10" s="57">
        <f t="shared" si="0"/>
        <v>295</v>
      </c>
      <c r="J10" s="53">
        <f t="shared" si="1"/>
        <v>85</v>
      </c>
      <c r="K10" s="11">
        <v>50</v>
      </c>
      <c r="L10" s="11">
        <v>35</v>
      </c>
      <c r="M10" s="11"/>
      <c r="N10" s="11"/>
      <c r="O10" s="53">
        <f t="shared" si="2"/>
        <v>210</v>
      </c>
      <c r="P10" s="11">
        <v>35</v>
      </c>
      <c r="Q10" s="11">
        <v>35</v>
      </c>
      <c r="R10" s="11">
        <v>30</v>
      </c>
      <c r="S10" s="11">
        <v>25</v>
      </c>
      <c r="T10" s="11">
        <v>30</v>
      </c>
      <c r="U10" s="11"/>
      <c r="V10" s="11">
        <v>30</v>
      </c>
      <c r="W10" s="11"/>
      <c r="X10" s="11">
        <v>25</v>
      </c>
      <c r="Y10" s="11"/>
      <c r="Z10" s="11"/>
      <c r="AA10" s="11">
        <f t="shared" si="12"/>
        <v>126.85</v>
      </c>
      <c r="AB10" s="11">
        <f t="shared" si="13"/>
        <v>29.5</v>
      </c>
      <c r="AC10" s="11">
        <f t="shared" si="14"/>
        <v>28.1002758055992</v>
      </c>
      <c r="AD10" s="11">
        <v>40</v>
      </c>
      <c r="AE10" s="11">
        <v>30</v>
      </c>
      <c r="AF10" s="12">
        <v>60</v>
      </c>
      <c r="AG10" s="10">
        <f t="shared" si="15"/>
        <v>555.84715515431458</v>
      </c>
      <c r="AH10" s="11">
        <f t="shared" si="3"/>
        <v>117.08401688301346</v>
      </c>
      <c r="AI10" s="12">
        <f t="shared" si="16"/>
        <v>26.253999999999998</v>
      </c>
      <c r="AJ10" s="13">
        <f t="shared" si="17"/>
        <v>1232</v>
      </c>
      <c r="AK10" s="23">
        <f>(H10/O10)*1.2</f>
        <v>2.9248571428571428</v>
      </c>
      <c r="AL10" s="11">
        <f t="shared" si="18"/>
        <v>614.22</v>
      </c>
      <c r="AM10" s="11">
        <v>3</v>
      </c>
      <c r="AN10" s="11">
        <f>AF10/AM10</f>
        <v>20</v>
      </c>
      <c r="AO10" s="24">
        <v>0.25</v>
      </c>
      <c r="AP10" s="25">
        <f t="shared" si="19"/>
        <v>5</v>
      </c>
      <c r="AQ10" s="24">
        <v>0.2</v>
      </c>
      <c r="AR10" s="24">
        <v>0.1</v>
      </c>
      <c r="AS10" s="26">
        <f t="shared" si="20"/>
        <v>2.6254</v>
      </c>
      <c r="AT10" s="24">
        <v>0.2</v>
      </c>
      <c r="AU10" s="25">
        <f t="shared" si="4"/>
        <v>0.52507999999999999</v>
      </c>
      <c r="AV10" s="12">
        <f t="shared" si="5"/>
        <v>5.52508</v>
      </c>
      <c r="AW10" s="15">
        <f>AL10/AV10</f>
        <v>111.16943103086291</v>
      </c>
      <c r="AX10" s="14">
        <f>AJ10/AV10</f>
        <v>222.9831966233973</v>
      </c>
      <c r="AY10" s="16">
        <v>10</v>
      </c>
      <c r="AZ10" s="17"/>
    </row>
    <row r="11" spans="1:52">
      <c r="A11" s="18">
        <f t="shared" si="6"/>
        <v>43595</v>
      </c>
      <c r="B11" s="74">
        <f>18*8</f>
        <v>144</v>
      </c>
      <c r="C11" s="19">
        <f t="shared" si="7"/>
        <v>524.62132099156861</v>
      </c>
      <c r="D11" s="14">
        <f t="shared" si="8"/>
        <v>180.8780976853235</v>
      </c>
      <c r="E11" s="20">
        <f>SUM(E10,F11)-AC11</f>
        <v>2537.1833209915685</v>
      </c>
      <c r="F11" s="20">
        <f t="shared" si="9"/>
        <v>702.72809768532352</v>
      </c>
      <c r="G11" s="21">
        <f t="shared" si="10"/>
        <v>2012.5619999999999</v>
      </c>
      <c r="H11" s="22">
        <f t="shared" si="11"/>
        <v>521.85</v>
      </c>
      <c r="I11" s="57">
        <f t="shared" si="0"/>
        <v>295</v>
      </c>
      <c r="J11" s="53">
        <f t="shared" si="1"/>
        <v>85</v>
      </c>
      <c r="K11" s="11">
        <v>50</v>
      </c>
      <c r="L11" s="11">
        <v>35</v>
      </c>
      <c r="M11" s="11"/>
      <c r="N11" s="11"/>
      <c r="O11" s="53">
        <f t="shared" si="2"/>
        <v>210</v>
      </c>
      <c r="P11" s="11">
        <v>35</v>
      </c>
      <c r="Q11" s="11">
        <v>35</v>
      </c>
      <c r="R11" s="11">
        <v>30</v>
      </c>
      <c r="S11" s="11">
        <v>25</v>
      </c>
      <c r="T11" s="11">
        <v>30</v>
      </c>
      <c r="U11" s="11"/>
      <c r="V11" s="11">
        <v>30</v>
      </c>
      <c r="W11" s="11"/>
      <c r="X11" s="11">
        <v>25</v>
      </c>
      <c r="Y11" s="11"/>
      <c r="Z11" s="11"/>
      <c r="AA11" s="11">
        <f t="shared" si="12"/>
        <v>126.85</v>
      </c>
      <c r="AB11" s="11">
        <f t="shared" si="13"/>
        <v>29.5</v>
      </c>
      <c r="AC11" s="11">
        <f t="shared" si="14"/>
        <v>27.131714652798525</v>
      </c>
      <c r="AD11" s="11">
        <v>40</v>
      </c>
      <c r="AE11" s="11">
        <v>30</v>
      </c>
      <c r="AF11" s="12">
        <v>70</v>
      </c>
      <c r="AG11" s="10">
        <f t="shared" si="15"/>
        <v>558.62007585388642</v>
      </c>
      <c r="AH11" s="11">
        <f t="shared" si="3"/>
        <v>108.81275516477048</v>
      </c>
      <c r="AI11" s="12">
        <f t="shared" si="16"/>
        <v>35.295266666666663</v>
      </c>
      <c r="AJ11" s="13">
        <f t="shared" si="17"/>
        <v>1008</v>
      </c>
      <c r="AK11" s="23">
        <f>(H11/O11)*1.2</f>
        <v>2.9820000000000002</v>
      </c>
      <c r="AL11" s="11">
        <f t="shared" si="18"/>
        <v>626.22</v>
      </c>
      <c r="AM11" s="11">
        <v>3</v>
      </c>
      <c r="AN11" s="11">
        <f>AF11/AM11</f>
        <v>23.333333333333332</v>
      </c>
      <c r="AO11" s="24">
        <v>0.25</v>
      </c>
      <c r="AP11" s="25">
        <f t="shared" si="19"/>
        <v>5.833333333333333</v>
      </c>
      <c r="AQ11" s="24">
        <v>0.2</v>
      </c>
      <c r="AR11" s="24">
        <v>0.1</v>
      </c>
      <c r="AS11" s="26">
        <f t="shared" si="20"/>
        <v>3.5295266666666665</v>
      </c>
      <c r="AT11" s="24">
        <v>0.2</v>
      </c>
      <c r="AU11" s="25">
        <f t="shared" si="4"/>
        <v>0.70590533333333338</v>
      </c>
      <c r="AV11" s="12">
        <f t="shared" si="5"/>
        <v>6.539238666666666</v>
      </c>
      <c r="AW11" s="15">
        <f>AL11/AV11</f>
        <v>95.763441574951955</v>
      </c>
      <c r="AX11" s="14">
        <f>AJ11/AV11</f>
        <v>154.14638482889652</v>
      </c>
      <c r="AY11" s="16">
        <v>10</v>
      </c>
      <c r="AZ11" s="17"/>
    </row>
    <row r="12" spans="1:52">
      <c r="A12" s="18">
        <f t="shared" si="6"/>
        <v>43625</v>
      </c>
      <c r="B12" s="74">
        <f>19*8</f>
        <v>152</v>
      </c>
      <c r="C12" s="19">
        <f t="shared" si="7"/>
        <v>718.30933455831564</v>
      </c>
      <c r="D12" s="14">
        <f t="shared" si="8"/>
        <v>227.86825125499638</v>
      </c>
      <c r="E12" s="20">
        <f>SUM(E11,F12)-AC12</f>
        <v>3334.2213345583154</v>
      </c>
      <c r="F12" s="20">
        <f t="shared" si="9"/>
        <v>831.2182512549964</v>
      </c>
      <c r="G12" s="21">
        <f t="shared" si="10"/>
        <v>2615.9119999999998</v>
      </c>
      <c r="H12" s="22">
        <f t="shared" si="11"/>
        <v>603.35</v>
      </c>
      <c r="I12" s="57">
        <f t="shared" si="0"/>
        <v>345</v>
      </c>
      <c r="J12" s="53">
        <f t="shared" si="1"/>
        <v>115</v>
      </c>
      <c r="K12" s="11">
        <v>50</v>
      </c>
      <c r="L12" s="11">
        <v>35</v>
      </c>
      <c r="M12" s="11">
        <v>30</v>
      </c>
      <c r="N12" s="11"/>
      <c r="O12" s="53">
        <f t="shared" si="2"/>
        <v>230</v>
      </c>
      <c r="P12" s="11">
        <v>35</v>
      </c>
      <c r="Q12" s="11">
        <v>35</v>
      </c>
      <c r="R12" s="11">
        <v>30</v>
      </c>
      <c r="S12" s="11">
        <v>25</v>
      </c>
      <c r="T12" s="11">
        <v>30</v>
      </c>
      <c r="U12" s="11"/>
      <c r="V12" s="11">
        <v>30</v>
      </c>
      <c r="W12" s="11"/>
      <c r="X12" s="11">
        <v>25</v>
      </c>
      <c r="Y12" s="11"/>
      <c r="Z12" s="11">
        <v>20</v>
      </c>
      <c r="AA12" s="11">
        <f t="shared" si="12"/>
        <v>148.35</v>
      </c>
      <c r="AB12" s="11">
        <f t="shared" si="13"/>
        <v>34.5</v>
      </c>
      <c r="AC12" s="11">
        <f t="shared" si="14"/>
        <v>34.180237688249456</v>
      </c>
      <c r="AD12" s="11">
        <v>40</v>
      </c>
      <c r="AE12" s="11">
        <v>40</v>
      </c>
      <c r="AF12" s="12">
        <v>70</v>
      </c>
      <c r="AG12" s="10">
        <f t="shared" si="15"/>
        <v>630.17930159997843</v>
      </c>
      <c r="AH12" s="11">
        <f t="shared" si="3"/>
        <v>157.60654298835126</v>
      </c>
      <c r="AI12" s="12">
        <f t="shared" si="16"/>
        <v>43.432406666666665</v>
      </c>
      <c r="AJ12" s="13">
        <f t="shared" si="17"/>
        <v>1216</v>
      </c>
      <c r="AK12" s="23">
        <f>(H12/O12)*1.2</f>
        <v>3.1479130434782605</v>
      </c>
      <c r="AL12" s="11">
        <f t="shared" si="18"/>
        <v>724.01999999999987</v>
      </c>
      <c r="AM12" s="11">
        <v>3</v>
      </c>
      <c r="AN12" s="11">
        <f>AF12/AM12</f>
        <v>23.333333333333332</v>
      </c>
      <c r="AO12" s="24">
        <v>0.25</v>
      </c>
      <c r="AP12" s="25">
        <f t="shared" si="19"/>
        <v>5.833333333333333</v>
      </c>
      <c r="AQ12" s="24">
        <v>0.2</v>
      </c>
      <c r="AR12" s="24">
        <v>0.1</v>
      </c>
      <c r="AS12" s="26">
        <f t="shared" si="20"/>
        <v>4.3432406666666665</v>
      </c>
      <c r="AT12" s="24">
        <v>0.2</v>
      </c>
      <c r="AU12" s="25">
        <f t="shared" si="4"/>
        <v>0.86864813333333335</v>
      </c>
      <c r="AV12" s="12">
        <f t="shared" si="5"/>
        <v>6.7019814666666662</v>
      </c>
      <c r="AW12" s="15">
        <f>AL12/AV12</f>
        <v>108.03073741713916</v>
      </c>
      <c r="AX12" s="14">
        <f>AJ12/AV12</f>
        <v>181.43887834485409</v>
      </c>
      <c r="AY12" s="16">
        <v>10</v>
      </c>
      <c r="AZ12" s="17"/>
    </row>
    <row r="13" spans="1:52" s="36" customFormat="1">
      <c r="A13" s="27">
        <f t="shared" si="6"/>
        <v>43655</v>
      </c>
      <c r="B13" s="74">
        <f>23*8</f>
        <v>184</v>
      </c>
      <c r="C13" s="28">
        <f t="shared" si="7"/>
        <v>988.04361269117089</v>
      </c>
      <c r="D13" s="29">
        <f t="shared" si="8"/>
        <v>317.3344448621832</v>
      </c>
      <c r="E13" s="30">
        <f>SUM(E12,F13)-AC13</f>
        <v>4294.5156126911706</v>
      </c>
      <c r="F13" s="20">
        <f t="shared" si="9"/>
        <v>1007.8944448621831</v>
      </c>
      <c r="G13" s="31">
        <f t="shared" si="10"/>
        <v>3306.4719999999998</v>
      </c>
      <c r="H13" s="22">
        <f t="shared" si="11"/>
        <v>690.56</v>
      </c>
      <c r="I13" s="57">
        <f t="shared" si="0"/>
        <v>392</v>
      </c>
      <c r="J13" s="53">
        <f t="shared" si="1"/>
        <v>130</v>
      </c>
      <c r="K13" s="32">
        <v>60</v>
      </c>
      <c r="L13" s="32">
        <v>40</v>
      </c>
      <c r="M13" s="32">
        <v>30</v>
      </c>
      <c r="N13" s="32"/>
      <c r="O13" s="53">
        <f t="shared" si="2"/>
        <v>262</v>
      </c>
      <c r="P13" s="32">
        <v>40</v>
      </c>
      <c r="Q13" s="32">
        <v>40</v>
      </c>
      <c r="R13" s="32">
        <v>35</v>
      </c>
      <c r="S13" s="32">
        <v>27</v>
      </c>
      <c r="T13" s="32">
        <v>35</v>
      </c>
      <c r="U13" s="32"/>
      <c r="V13" s="32">
        <v>35</v>
      </c>
      <c r="W13" s="32"/>
      <c r="X13" s="32">
        <v>30</v>
      </c>
      <c r="Y13" s="32"/>
      <c r="Z13" s="32">
        <v>20</v>
      </c>
      <c r="AA13" s="11">
        <f t="shared" si="12"/>
        <v>168.56</v>
      </c>
      <c r="AB13" s="11">
        <f t="shared" si="13"/>
        <v>39.200000000000003</v>
      </c>
      <c r="AC13" s="11">
        <f t="shared" si="14"/>
        <v>47.600166729327476</v>
      </c>
      <c r="AD13" s="11">
        <v>40</v>
      </c>
      <c r="AE13" s="32">
        <v>50</v>
      </c>
      <c r="AF13" s="33">
        <v>80</v>
      </c>
      <c r="AG13" s="10">
        <f t="shared" si="15"/>
        <v>692.66300338006897</v>
      </c>
      <c r="AH13" s="11">
        <f t="shared" si="3"/>
        <v>241.59769248211416</v>
      </c>
      <c r="AI13" s="12">
        <f t="shared" si="16"/>
        <v>73.633748999999995</v>
      </c>
      <c r="AJ13" s="13">
        <f t="shared" si="17"/>
        <v>1472</v>
      </c>
      <c r="AK13" s="23">
        <f>(H13/O13)*1.2</f>
        <v>3.1628702290076336</v>
      </c>
      <c r="AL13" s="11">
        <f t="shared" si="18"/>
        <v>828.67200000000003</v>
      </c>
      <c r="AM13" s="32">
        <v>4</v>
      </c>
      <c r="AN13" s="11">
        <f>AF13/AM13</f>
        <v>20</v>
      </c>
      <c r="AO13" s="34">
        <v>0.25</v>
      </c>
      <c r="AP13" s="25">
        <f t="shared" si="19"/>
        <v>5</v>
      </c>
      <c r="AQ13" s="24">
        <v>0.2</v>
      </c>
      <c r="AR13" s="24">
        <v>0.1</v>
      </c>
      <c r="AS13" s="26">
        <f t="shared" si="20"/>
        <v>4.9089165999999995</v>
      </c>
      <c r="AT13" s="24">
        <v>0.2</v>
      </c>
      <c r="AU13" s="25">
        <f t="shared" si="4"/>
        <v>0.9817833199999999</v>
      </c>
      <c r="AV13" s="12">
        <f t="shared" si="5"/>
        <v>5.9817833199999999</v>
      </c>
      <c r="AW13" s="15">
        <f>AL13/AV13</f>
        <v>138.5326006760138</v>
      </c>
      <c r="AX13" s="14">
        <f>AJ13/AV13</f>
        <v>246.08046150357717</v>
      </c>
      <c r="AY13" s="16">
        <v>15</v>
      </c>
      <c r="AZ13" s="35"/>
    </row>
    <row r="14" spans="1:52">
      <c r="A14" s="18">
        <f t="shared" si="6"/>
        <v>43685</v>
      </c>
      <c r="B14" s="74">
        <f>22*8</f>
        <v>176</v>
      </c>
      <c r="C14" s="19">
        <f t="shared" si="7"/>
        <v>1262.1126908704114</v>
      </c>
      <c r="D14" s="14">
        <f t="shared" si="8"/>
        <v>322.43420962263599</v>
      </c>
      <c r="E14" s="20">
        <f>SUM(E13,F14)-AC14</f>
        <v>5269.1446908704111</v>
      </c>
      <c r="F14" s="20">
        <f t="shared" si="9"/>
        <v>1022.9942096226359</v>
      </c>
      <c r="G14" s="21">
        <f t="shared" si="10"/>
        <v>4007.0319999999997</v>
      </c>
      <c r="H14" s="22">
        <f t="shared" si="11"/>
        <v>700.56</v>
      </c>
      <c r="I14" s="57">
        <f t="shared" si="0"/>
        <v>392</v>
      </c>
      <c r="J14" s="53">
        <f t="shared" si="1"/>
        <v>130</v>
      </c>
      <c r="K14" s="11">
        <v>60</v>
      </c>
      <c r="L14" s="11">
        <v>40</v>
      </c>
      <c r="M14" s="11">
        <v>30</v>
      </c>
      <c r="N14" s="11"/>
      <c r="O14" s="53">
        <f t="shared" si="2"/>
        <v>262</v>
      </c>
      <c r="P14" s="11">
        <v>40</v>
      </c>
      <c r="Q14" s="11">
        <v>40</v>
      </c>
      <c r="R14" s="11">
        <v>35</v>
      </c>
      <c r="S14" s="32">
        <v>27</v>
      </c>
      <c r="T14" s="11">
        <v>35</v>
      </c>
      <c r="U14" s="11"/>
      <c r="V14" s="11">
        <v>35</v>
      </c>
      <c r="W14" s="11"/>
      <c r="X14" s="11">
        <v>30</v>
      </c>
      <c r="Y14" s="11"/>
      <c r="Z14" s="11">
        <v>20</v>
      </c>
      <c r="AA14" s="11">
        <f t="shared" si="12"/>
        <v>168.56</v>
      </c>
      <c r="AB14" s="11">
        <f t="shared" si="13"/>
        <v>39.200000000000003</v>
      </c>
      <c r="AC14" s="11">
        <f t="shared" si="14"/>
        <v>48.365131443395398</v>
      </c>
      <c r="AD14" s="11">
        <v>40</v>
      </c>
      <c r="AE14" s="32">
        <v>60</v>
      </c>
      <c r="AF14" s="12">
        <v>80</v>
      </c>
      <c r="AG14" s="10">
        <f t="shared" si="15"/>
        <v>690.93243369534821</v>
      </c>
      <c r="AH14" s="11">
        <f t="shared" si="3"/>
        <v>250.79140182728773</v>
      </c>
      <c r="AI14" s="12">
        <f t="shared" si="16"/>
        <v>81.270374099999998</v>
      </c>
      <c r="AJ14" s="13">
        <f t="shared" si="17"/>
        <v>1408</v>
      </c>
      <c r="AK14" s="23">
        <f>(H14/O14)*1.2</f>
        <v>3.2086717557251907</v>
      </c>
      <c r="AL14" s="11">
        <f t="shared" si="18"/>
        <v>840.67199999999991</v>
      </c>
      <c r="AM14" s="32">
        <v>4</v>
      </c>
      <c r="AN14" s="11">
        <f>AF14/AM14</f>
        <v>20</v>
      </c>
      <c r="AO14" s="24">
        <v>0.25</v>
      </c>
      <c r="AP14" s="25">
        <f t="shared" si="19"/>
        <v>5</v>
      </c>
      <c r="AQ14" s="24">
        <v>0.2</v>
      </c>
      <c r="AR14" s="24">
        <v>0.1</v>
      </c>
      <c r="AS14" s="26">
        <f t="shared" si="20"/>
        <v>5.4180249399999996</v>
      </c>
      <c r="AT14" s="24">
        <v>0.2</v>
      </c>
      <c r="AU14" s="25">
        <f t="shared" si="4"/>
        <v>1.083604988</v>
      </c>
      <c r="AV14" s="12">
        <f t="shared" si="5"/>
        <v>6.0836049880000003</v>
      </c>
      <c r="AW14" s="15">
        <f>AL14/AV14</f>
        <v>138.18648673906964</v>
      </c>
      <c r="AX14" s="14">
        <f>AJ14/AV14</f>
        <v>231.44171963454244</v>
      </c>
      <c r="AY14" s="16">
        <v>15</v>
      </c>
      <c r="AZ14" s="17"/>
    </row>
    <row r="15" spans="1:52">
      <c r="A15" s="18">
        <f t="shared" si="6"/>
        <v>43715</v>
      </c>
      <c r="B15" s="74">
        <f>21*8</f>
        <v>168</v>
      </c>
      <c r="C15" s="19">
        <f t="shared" si="7"/>
        <v>1532.6373365160844</v>
      </c>
      <c r="D15" s="14">
        <f t="shared" si="8"/>
        <v>318.26428899490941</v>
      </c>
      <c r="E15" s="20">
        <f>SUM(E14,F15)-AC15</f>
        <v>6274.5293365160842</v>
      </c>
      <c r="F15" s="20">
        <f t="shared" si="9"/>
        <v>1053.1242889949094</v>
      </c>
      <c r="G15" s="21">
        <f t="shared" si="10"/>
        <v>4741.8919999999998</v>
      </c>
      <c r="H15" s="22">
        <f t="shared" si="11"/>
        <v>734.86</v>
      </c>
      <c r="I15" s="57">
        <f t="shared" si="0"/>
        <v>402</v>
      </c>
      <c r="J15" s="53">
        <f t="shared" si="1"/>
        <v>135</v>
      </c>
      <c r="K15" s="11">
        <v>60</v>
      </c>
      <c r="L15" s="11">
        <v>40</v>
      </c>
      <c r="M15" s="11">
        <v>35</v>
      </c>
      <c r="N15" s="11"/>
      <c r="O15" s="53">
        <f t="shared" si="2"/>
        <v>267</v>
      </c>
      <c r="P15" s="11">
        <v>40</v>
      </c>
      <c r="Q15" s="11">
        <v>40</v>
      </c>
      <c r="R15" s="11">
        <v>35</v>
      </c>
      <c r="S15" s="32">
        <v>27</v>
      </c>
      <c r="T15" s="11">
        <v>35</v>
      </c>
      <c r="U15" s="11"/>
      <c r="V15" s="11">
        <v>35</v>
      </c>
      <c r="W15" s="11"/>
      <c r="X15" s="11">
        <v>30</v>
      </c>
      <c r="Y15" s="11"/>
      <c r="Z15" s="11">
        <v>25</v>
      </c>
      <c r="AA15" s="11">
        <f t="shared" si="12"/>
        <v>172.85999999999999</v>
      </c>
      <c r="AB15" s="11">
        <f t="shared" si="13"/>
        <v>40.200000000000003</v>
      </c>
      <c r="AC15" s="11">
        <f t="shared" si="14"/>
        <v>47.73964334923641</v>
      </c>
      <c r="AD15" s="11">
        <v>40</v>
      </c>
      <c r="AE15" s="32">
        <v>70</v>
      </c>
      <c r="AF15" s="12">
        <v>90</v>
      </c>
      <c r="AG15" s="10">
        <f t="shared" si="15"/>
        <v>726.75858100746325</v>
      </c>
      <c r="AH15" s="11">
        <f t="shared" si="3"/>
        <v>236.34737129744607</v>
      </c>
      <c r="AI15" s="12">
        <f t="shared" si="16"/>
        <v>90.018336689999998</v>
      </c>
      <c r="AJ15" s="13">
        <f t="shared" si="17"/>
        <v>1344</v>
      </c>
      <c r="AK15" s="23">
        <f>(H15/O15)*1.2</f>
        <v>3.3027415730337077</v>
      </c>
      <c r="AL15" s="11">
        <f t="shared" si="18"/>
        <v>881.83199999999999</v>
      </c>
      <c r="AM15" s="32">
        <v>4</v>
      </c>
      <c r="AN15" s="11">
        <f>AF15/AM15</f>
        <v>22.5</v>
      </c>
      <c r="AO15" s="24">
        <v>0.25</v>
      </c>
      <c r="AP15" s="25">
        <f t="shared" si="19"/>
        <v>5.625</v>
      </c>
      <c r="AQ15" s="24">
        <v>0.2</v>
      </c>
      <c r="AR15" s="24">
        <v>0.1</v>
      </c>
      <c r="AS15" s="26">
        <f t="shared" si="20"/>
        <v>6.0012224459999999</v>
      </c>
      <c r="AT15" s="24">
        <v>0.2</v>
      </c>
      <c r="AU15" s="25">
        <f t="shared" si="4"/>
        <v>1.2002444892000002</v>
      </c>
      <c r="AV15" s="12">
        <f t="shared" si="5"/>
        <v>6.8252444892000002</v>
      </c>
      <c r="AW15" s="15">
        <f>AL15/AV15</f>
        <v>129.20152551243791</v>
      </c>
      <c r="AX15" s="14">
        <f>AJ15/AV15</f>
        <v>196.91602288045402</v>
      </c>
      <c r="AY15" s="16">
        <v>15</v>
      </c>
      <c r="AZ15" s="17"/>
    </row>
    <row r="16" spans="1:52">
      <c r="A16" s="18">
        <f t="shared" si="6"/>
        <v>43745</v>
      </c>
      <c r="B16" s="74">
        <f>23*8</f>
        <v>184</v>
      </c>
      <c r="C16" s="19">
        <f t="shared" si="7"/>
        <v>1923.2225828929941</v>
      </c>
      <c r="D16" s="14">
        <f t="shared" si="8"/>
        <v>459.51205456106993</v>
      </c>
      <c r="E16" s="20">
        <f>SUM(E15,F16)-AC16</f>
        <v>7578.7145828929943</v>
      </c>
      <c r="F16" s="20">
        <f t="shared" si="9"/>
        <v>1373.11205456107</v>
      </c>
      <c r="G16" s="21">
        <f t="shared" si="10"/>
        <v>5655.4920000000002</v>
      </c>
      <c r="H16" s="22">
        <f t="shared" si="11"/>
        <v>913.6</v>
      </c>
      <c r="I16" s="57">
        <f t="shared" si="0"/>
        <v>520</v>
      </c>
      <c r="J16" s="53">
        <f t="shared" si="1"/>
        <v>145</v>
      </c>
      <c r="K16" s="11">
        <v>70</v>
      </c>
      <c r="L16" s="11">
        <v>40</v>
      </c>
      <c r="M16" s="11">
        <v>35</v>
      </c>
      <c r="N16" s="11"/>
      <c r="O16" s="53">
        <f t="shared" si="2"/>
        <v>375</v>
      </c>
      <c r="P16" s="11">
        <v>40</v>
      </c>
      <c r="Q16" s="11">
        <v>45</v>
      </c>
      <c r="R16" s="11">
        <v>40</v>
      </c>
      <c r="S16" s="32">
        <v>30</v>
      </c>
      <c r="T16" s="11">
        <v>35</v>
      </c>
      <c r="U16" s="11">
        <v>30</v>
      </c>
      <c r="V16" s="11">
        <v>40</v>
      </c>
      <c r="W16" s="11">
        <v>30</v>
      </c>
      <c r="X16" s="11">
        <v>35</v>
      </c>
      <c r="Y16" s="11">
        <v>25</v>
      </c>
      <c r="Z16" s="11">
        <v>25</v>
      </c>
      <c r="AA16" s="11">
        <f t="shared" si="12"/>
        <v>223.6</v>
      </c>
      <c r="AB16" s="11">
        <f t="shared" si="13"/>
        <v>52</v>
      </c>
      <c r="AC16" s="11">
        <f t="shared" si="14"/>
        <v>68.926808184160492</v>
      </c>
      <c r="AD16" s="32">
        <v>60</v>
      </c>
      <c r="AE16" s="32">
        <v>80</v>
      </c>
      <c r="AF16" s="12">
        <v>90</v>
      </c>
      <c r="AG16" s="10">
        <f t="shared" si="15"/>
        <v>884.09997944936879</v>
      </c>
      <c r="AH16" s="11">
        <f t="shared" si="3"/>
        <v>391.79557209070111</v>
      </c>
      <c r="AI16" s="12">
        <f t="shared" si="16"/>
        <v>97.216503021000008</v>
      </c>
      <c r="AJ16" s="13">
        <f t="shared" si="17"/>
        <v>2024</v>
      </c>
      <c r="AK16" s="23">
        <f>(H16/O16)*1.2</f>
        <v>2.9235199999999999</v>
      </c>
      <c r="AL16" s="11">
        <f t="shared" si="18"/>
        <v>1096.32</v>
      </c>
      <c r="AM16" s="32">
        <v>5</v>
      </c>
      <c r="AN16" s="11">
        <f>AF16/AM16</f>
        <v>18</v>
      </c>
      <c r="AO16" s="24">
        <v>0.3</v>
      </c>
      <c r="AP16" s="25">
        <f t="shared" si="19"/>
        <v>5.3999999999999995</v>
      </c>
      <c r="AQ16" s="24">
        <v>0.2</v>
      </c>
      <c r="AR16" s="24">
        <v>0.1</v>
      </c>
      <c r="AS16" s="26">
        <f t="shared" si="20"/>
        <v>6.4811002014000003</v>
      </c>
      <c r="AT16" s="24">
        <v>0.2</v>
      </c>
      <c r="AU16" s="25">
        <f t="shared" si="4"/>
        <v>1.2962200402800002</v>
      </c>
      <c r="AV16" s="12">
        <f t="shared" si="5"/>
        <v>6.6962200402800001</v>
      </c>
      <c r="AW16" s="15">
        <f>AL16/AV16</f>
        <v>163.72221841654979</v>
      </c>
      <c r="AX16" s="14">
        <f>AJ16/AV16</f>
        <v>302.26007924246278</v>
      </c>
      <c r="AY16" s="16">
        <v>15</v>
      </c>
      <c r="AZ16" s="17"/>
    </row>
    <row r="17" spans="1:52">
      <c r="A17" s="18">
        <f t="shared" si="6"/>
        <v>43775</v>
      </c>
      <c r="B17" s="74">
        <f>20*8</f>
        <v>160</v>
      </c>
      <c r="C17" s="19">
        <f t="shared" si="7"/>
        <v>2281.019466051097</v>
      </c>
      <c r="D17" s="14">
        <f t="shared" si="8"/>
        <v>420.93750959776708</v>
      </c>
      <c r="E17" s="20">
        <f>SUM(E16,F17)-AC17</f>
        <v>8867.2614660510972</v>
      </c>
      <c r="F17" s="20">
        <f t="shared" si="9"/>
        <v>1351.6875095977671</v>
      </c>
      <c r="G17" s="21">
        <f t="shared" si="10"/>
        <v>6586.2420000000002</v>
      </c>
      <c r="H17" s="22">
        <f t="shared" si="11"/>
        <v>930.75</v>
      </c>
      <c r="I17" s="57">
        <f t="shared" si="0"/>
        <v>525</v>
      </c>
      <c r="J17" s="53">
        <f t="shared" si="1"/>
        <v>145</v>
      </c>
      <c r="K17" s="11">
        <v>70</v>
      </c>
      <c r="L17" s="11">
        <v>40</v>
      </c>
      <c r="M17" s="11">
        <v>35</v>
      </c>
      <c r="N17" s="11"/>
      <c r="O17" s="53">
        <f t="shared" si="2"/>
        <v>380</v>
      </c>
      <c r="P17" s="11">
        <v>40</v>
      </c>
      <c r="Q17" s="11">
        <v>45</v>
      </c>
      <c r="R17" s="11">
        <v>40</v>
      </c>
      <c r="S17" s="32">
        <v>30</v>
      </c>
      <c r="T17" s="11">
        <v>40</v>
      </c>
      <c r="U17" s="11">
        <v>30</v>
      </c>
      <c r="V17" s="11">
        <v>40</v>
      </c>
      <c r="W17" s="11">
        <v>30</v>
      </c>
      <c r="X17" s="11">
        <v>35</v>
      </c>
      <c r="Y17" s="11">
        <v>25</v>
      </c>
      <c r="Z17" s="11">
        <v>25</v>
      </c>
      <c r="AA17" s="11">
        <f t="shared" si="12"/>
        <v>225.75</v>
      </c>
      <c r="AB17" s="11">
        <f t="shared" si="13"/>
        <v>52.5</v>
      </c>
      <c r="AC17" s="11">
        <f t="shared" si="14"/>
        <v>63.140626439665056</v>
      </c>
      <c r="AD17" s="32">
        <v>60</v>
      </c>
      <c r="AE17" s="32">
        <v>90</v>
      </c>
      <c r="AF17" s="12">
        <v>90</v>
      </c>
      <c r="AG17" s="10">
        <f t="shared" si="15"/>
        <v>889.22562825687032</v>
      </c>
      <c r="AH17" s="11">
        <f t="shared" si="3"/>
        <v>358.76702862199676</v>
      </c>
      <c r="AI17" s="12">
        <f t="shared" si="16"/>
        <v>103.69485271890001</v>
      </c>
      <c r="AJ17" s="13">
        <f t="shared" si="17"/>
        <v>1760</v>
      </c>
      <c r="AK17" s="23">
        <f>(H17/O17)*1.2</f>
        <v>2.9392105263157893</v>
      </c>
      <c r="AL17" s="11">
        <f t="shared" si="18"/>
        <v>1116.8999999999999</v>
      </c>
      <c r="AM17" s="32">
        <v>5</v>
      </c>
      <c r="AN17" s="11">
        <f>AF17/AM17</f>
        <v>18</v>
      </c>
      <c r="AO17" s="24">
        <v>0.3</v>
      </c>
      <c r="AP17" s="25">
        <f t="shared" si="19"/>
        <v>5.3999999999999995</v>
      </c>
      <c r="AQ17" s="24">
        <v>0.2</v>
      </c>
      <c r="AR17" s="24">
        <v>0.1</v>
      </c>
      <c r="AS17" s="26">
        <f t="shared" si="20"/>
        <v>6.9129901812600005</v>
      </c>
      <c r="AT17" s="24">
        <v>0.2</v>
      </c>
      <c r="AU17" s="25">
        <f t="shared" si="4"/>
        <v>1.3825980362520003</v>
      </c>
      <c r="AV17" s="12">
        <f t="shared" si="5"/>
        <v>6.7825980362519998</v>
      </c>
      <c r="AW17" s="15">
        <f>AL17/AV17</f>
        <v>164.67141264016118</v>
      </c>
      <c r="AX17" s="14">
        <f>AJ17/AV17</f>
        <v>259.48758729222283</v>
      </c>
      <c r="AY17" s="16">
        <v>15</v>
      </c>
      <c r="AZ17" s="17"/>
    </row>
    <row r="18" spans="1:52" ht="14.45" thickBot="1">
      <c r="A18" s="37">
        <f t="shared" si="6"/>
        <v>43805</v>
      </c>
      <c r="B18" s="74">
        <f>22*8</f>
        <v>176</v>
      </c>
      <c r="C18" s="38">
        <f>E18-G18</f>
        <v>2669.8314217731713</v>
      </c>
      <c r="D18" s="39">
        <f>F18-H18</f>
        <v>457.42583026126385</v>
      </c>
      <c r="E18" s="40">
        <f>SUM(E17,F18)-AC18</f>
        <v>10252.583421773172</v>
      </c>
      <c r="F18" s="40">
        <f t="shared" si="9"/>
        <v>1453.9358302612638</v>
      </c>
      <c r="G18" s="41">
        <f t="shared" si="10"/>
        <v>7582.7520000000004</v>
      </c>
      <c r="H18" s="42">
        <f t="shared" si="11"/>
        <v>996.51</v>
      </c>
      <c r="I18" s="58">
        <f t="shared" si="0"/>
        <v>557</v>
      </c>
      <c r="J18" s="54">
        <f t="shared" si="1"/>
        <v>175</v>
      </c>
      <c r="K18" s="44">
        <v>70</v>
      </c>
      <c r="L18" s="44">
        <v>40</v>
      </c>
      <c r="M18" s="44">
        <v>35</v>
      </c>
      <c r="N18" s="44">
        <v>30</v>
      </c>
      <c r="O18" s="54">
        <f t="shared" si="2"/>
        <v>382</v>
      </c>
      <c r="P18" s="44">
        <v>40</v>
      </c>
      <c r="Q18" s="44">
        <v>45</v>
      </c>
      <c r="R18" s="44">
        <v>40</v>
      </c>
      <c r="S18" s="44">
        <v>30</v>
      </c>
      <c r="T18" s="44">
        <v>40</v>
      </c>
      <c r="U18" s="44">
        <v>30</v>
      </c>
      <c r="V18" s="44">
        <v>40</v>
      </c>
      <c r="W18" s="44">
        <v>30</v>
      </c>
      <c r="X18" s="44">
        <v>35</v>
      </c>
      <c r="Y18" s="44">
        <v>25</v>
      </c>
      <c r="Z18" s="44">
        <v>27</v>
      </c>
      <c r="AA18" s="44">
        <f t="shared" si="12"/>
        <v>239.51</v>
      </c>
      <c r="AB18" s="44">
        <f t="shared" si="13"/>
        <v>55.7</v>
      </c>
      <c r="AC18" s="11">
        <f t="shared" si="14"/>
        <v>68.613874539189581</v>
      </c>
      <c r="AD18" s="44">
        <v>80</v>
      </c>
      <c r="AE18" s="44">
        <v>100</v>
      </c>
      <c r="AF18" s="45">
        <v>100</v>
      </c>
      <c r="AG18" s="43">
        <f t="shared" si="15"/>
        <v>958.6514902175677</v>
      </c>
      <c r="AH18" s="44">
        <f t="shared" si="3"/>
        <v>383.95897259668624</v>
      </c>
      <c r="AI18" s="45">
        <f t="shared" si="16"/>
        <v>111.32536744701001</v>
      </c>
      <c r="AJ18" s="13">
        <f t="shared" si="17"/>
        <v>1936</v>
      </c>
      <c r="AK18" s="46">
        <f>(H18/O18)*1.2</f>
        <v>3.1303979057591622</v>
      </c>
      <c r="AL18" s="44">
        <f t="shared" si="18"/>
        <v>1195.8119999999999</v>
      </c>
      <c r="AM18" s="44">
        <v>5</v>
      </c>
      <c r="AN18" s="44">
        <f>AF18/AM18</f>
        <v>20</v>
      </c>
      <c r="AO18" s="47">
        <v>0.3</v>
      </c>
      <c r="AP18" s="48">
        <f t="shared" si="19"/>
        <v>6</v>
      </c>
      <c r="AQ18" s="47">
        <v>0.2</v>
      </c>
      <c r="AR18" s="47">
        <v>0.1</v>
      </c>
      <c r="AS18" s="49">
        <f t="shared" si="20"/>
        <v>7.4216911631340006</v>
      </c>
      <c r="AT18" s="47">
        <v>0.2</v>
      </c>
      <c r="AU18" s="48">
        <f t="shared" si="4"/>
        <v>1.4843382326268002</v>
      </c>
      <c r="AV18" s="45">
        <f t="shared" si="5"/>
        <v>7.4843382326268006</v>
      </c>
      <c r="AW18" s="50">
        <f>AL18/AV18</f>
        <v>159.77524836959461</v>
      </c>
      <c r="AX18" s="39">
        <f>AJ18/AV18</f>
        <v>258.67350456721891</v>
      </c>
      <c r="AY18" s="51">
        <v>15</v>
      </c>
      <c r="AZ18" s="17"/>
    </row>
    <row r="19" spans="1:52" ht="14.45" thickTop="1">
      <c r="A19" s="36"/>
      <c r="B19" s="74"/>
      <c r="C19" s="32"/>
      <c r="D19" s="32"/>
      <c r="E19" s="32"/>
      <c r="F19" s="32"/>
      <c r="G19" s="32"/>
      <c r="H19" s="32"/>
      <c r="I19" s="32"/>
      <c r="J19" s="32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2"/>
      <c r="AB19" s="32"/>
      <c r="AC19" s="32"/>
      <c r="AD19" s="32"/>
      <c r="AE19" s="32"/>
      <c r="AF19" s="32"/>
      <c r="AG19" s="36"/>
      <c r="AH19" s="36"/>
      <c r="AI19" s="36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</row>
    <row r="20" spans="1:52">
      <c r="B20" s="74"/>
      <c r="C20" s="81" t="s">
        <v>56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3"/>
    </row>
    <row r="21" spans="1:52">
      <c r="B21" s="74"/>
    </row>
    <row r="22" spans="1:52">
      <c r="B22" s="74"/>
    </row>
    <row r="23" spans="1:52">
      <c r="B23" s="74"/>
    </row>
    <row r="24" spans="1:52">
      <c r="B24" s="74"/>
    </row>
    <row r="25" spans="1:52">
      <c r="B25" s="74"/>
    </row>
    <row r="26" spans="1:52">
      <c r="B26" s="74"/>
    </row>
    <row r="27" spans="1:52">
      <c r="B27" s="74"/>
    </row>
  </sheetData>
  <mergeCells count="8">
    <mergeCell ref="C20:P20"/>
    <mergeCell ref="A4:B4"/>
    <mergeCell ref="AJ4:AY4"/>
    <mergeCell ref="C1:Z2"/>
    <mergeCell ref="C3:H3"/>
    <mergeCell ref="C4:H4"/>
    <mergeCell ref="I4:AF4"/>
    <mergeCell ref="AG4:AI4"/>
  </mergeCells>
  <printOptions gridLines="1"/>
  <pageMargins left="0.75" right="0.75" top="1" bottom="1" header="0.51180555555555496" footer="0.51180555555555496"/>
  <pageSetup paperSize="9" firstPageNumber="0" fitToHeight="0" orientation="landscape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7AF705097C6A44C8F365C6F44735FC7" ma:contentTypeVersion="8" ma:contentTypeDescription="Создание документа." ma:contentTypeScope="" ma:versionID="3f8f004e1726f6b3e0ba9bb37f6db153">
  <xsd:schema xmlns:xsd="http://www.w3.org/2001/XMLSchema" xmlns:xs="http://www.w3.org/2001/XMLSchema" xmlns:p="http://schemas.microsoft.com/office/2006/metadata/properties" xmlns:ns2="059a0289-327c-445f-ac8b-6b21ba638574" xmlns:ns3="ed0a0110-ab2c-43be-be65-0097042b6386" targetNamespace="http://schemas.microsoft.com/office/2006/metadata/properties" ma:root="true" ma:fieldsID="61724b4d703c63af0297deb3c5c2d3f8" ns2:_="" ns3:_="">
    <xsd:import namespace="059a0289-327c-445f-ac8b-6b21ba638574"/>
    <xsd:import namespace="ed0a0110-ab2c-43be-be65-0097042b63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a0289-327c-445f-ac8b-6b21ba6385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0a0110-ab2c-43be-be65-0097042b638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Совместно с подробностями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A27D12-6926-4C76-9997-4389A5AFCBDB}"/>
</file>

<file path=customXml/itemProps2.xml><?xml version="1.0" encoding="utf-8"?>
<ds:datastoreItem xmlns:ds="http://schemas.openxmlformats.org/officeDocument/2006/customXml" ds:itemID="{816CC035-E9FD-4F79-A03F-14154EA639D9}"/>
</file>

<file path=customXml/itemProps3.xml><?xml version="1.0" encoding="utf-8"?>
<ds:datastoreItem xmlns:ds="http://schemas.openxmlformats.org/officeDocument/2006/customXml" ds:itemID="{D7682E9E-7617-4363-81B6-34FDF47B1B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terekhov</dc:creator>
  <cp:keywords/>
  <dc:description/>
  <cp:lastModifiedBy/>
  <cp:revision>1</cp:revision>
  <dcterms:created xsi:type="dcterms:W3CDTF">2010-01-31T04:02:44Z</dcterms:created>
  <dcterms:modified xsi:type="dcterms:W3CDTF">2018-11-07T07:46:26Z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0x010100D7AF705097C6A44C8F365C6F44735FC7</vt:lpwstr>
  </property>
</Properties>
</file>