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Sales_Dashboard\"/>
    </mc:Choice>
  </mc:AlternateContent>
  <xr:revisionPtr revIDLastSave="0" documentId="13_ncr:1_{3F4B3EA6-17A0-449E-9E58-3668ADD7B89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BUSINES'!$A$2:$AC$90</definedName>
    <definedName name="ExternalData_1" localSheetId="5" hidden="1">Query1!$A$1:$A$2</definedName>
  </definedNames>
  <calcPr calcId="181029"/>
</workbook>
</file>

<file path=xl/calcChain.xml><?xml version="1.0" encoding="utf-8"?>
<calcChain xmlns="http://schemas.openxmlformats.org/spreadsheetml/2006/main">
  <c r="Q8" i="1" l="1"/>
  <c r="Q23" i="1"/>
  <c r="Q15" i="1"/>
  <c r="Q81" i="1"/>
  <c r="Q24" i="1"/>
  <c r="Q72" i="1"/>
  <c r="J8" i="1"/>
  <c r="J23" i="1"/>
  <c r="J15" i="1"/>
  <c r="J81" i="1"/>
  <c r="J24" i="1"/>
  <c r="J72" i="1"/>
  <c r="P8" i="1"/>
  <c r="P23" i="1"/>
  <c r="P15" i="1"/>
  <c r="P81" i="1"/>
  <c r="P24" i="1"/>
  <c r="P72" i="1"/>
  <c r="P71" i="1"/>
  <c r="F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" i="2"/>
  <c r="Q30" i="1"/>
  <c r="Q31" i="1"/>
  <c r="Q91" i="1"/>
  <c r="Q32" i="1"/>
  <c r="Q10" i="1"/>
  <c r="Q16" i="1"/>
  <c r="Q62" i="1"/>
  <c r="Q11" i="1"/>
  <c r="Q17" i="1"/>
  <c r="Q33" i="1"/>
  <c r="Q63" i="1"/>
  <c r="Q64" i="1"/>
  <c r="Q34" i="1"/>
  <c r="Q18" i="1"/>
  <c r="Q35" i="1"/>
  <c r="Q25" i="1"/>
  <c r="Q65" i="1"/>
  <c r="Q12" i="1"/>
  <c r="Q36" i="1"/>
  <c r="Q37" i="1"/>
  <c r="Q84" i="1"/>
  <c r="Q82" i="1"/>
  <c r="Q19" i="1"/>
  <c r="Q38" i="1"/>
  <c r="Q26" i="1"/>
  <c r="Q83" i="1"/>
  <c r="Q66" i="1"/>
  <c r="Q39" i="1"/>
  <c r="Q73" i="1"/>
  <c r="Q88" i="1"/>
  <c r="Q79" i="1"/>
  <c r="Q13" i="1"/>
  <c r="Q20" i="1"/>
  <c r="Q4" i="1"/>
  <c r="Q87" i="1"/>
  <c r="Q40" i="1"/>
  <c r="Q9" i="1"/>
  <c r="Q41" i="1"/>
  <c r="Q21" i="1"/>
  <c r="Q74" i="1"/>
  <c r="Q42" i="1"/>
  <c r="Q27" i="1"/>
  <c r="Q59" i="1"/>
  <c r="Q28" i="1"/>
  <c r="Q43" i="1"/>
  <c r="Q44" i="1"/>
  <c r="Q45" i="1"/>
  <c r="Q67" i="1"/>
  <c r="Q46" i="1"/>
  <c r="Q47" i="1"/>
  <c r="Q48" i="1"/>
  <c r="Q49" i="1"/>
  <c r="Q22" i="1"/>
  <c r="Q14" i="1"/>
  <c r="Q50" i="1"/>
  <c r="Q89" i="1"/>
  <c r="Q60" i="1"/>
  <c r="Q51" i="1"/>
  <c r="Q52" i="1"/>
  <c r="Q2" i="1"/>
  <c r="Q68" i="1"/>
  <c r="Q3" i="1"/>
  <c r="Q92" i="1"/>
  <c r="Q90" i="1"/>
  <c r="Q53" i="1"/>
  <c r="Q54" i="1"/>
  <c r="Q55" i="1"/>
  <c r="Q56" i="1"/>
  <c r="Q5" i="1"/>
  <c r="Q6" i="1"/>
  <c r="Q7" i="1"/>
  <c r="Q80" i="1"/>
  <c r="Q75" i="1"/>
  <c r="Q76" i="1"/>
  <c r="Q77" i="1"/>
  <c r="Q85" i="1"/>
  <c r="Q69" i="1"/>
  <c r="Q70" i="1"/>
  <c r="Q57" i="1"/>
  <c r="Q58" i="1"/>
  <c r="Q86" i="1"/>
  <c r="Q78" i="1"/>
  <c r="Q61" i="1"/>
  <c r="Q71" i="1"/>
  <c r="Q29" i="1"/>
  <c r="P50" i="1"/>
  <c r="P30" i="1"/>
  <c r="P31" i="1"/>
  <c r="P91" i="1"/>
  <c r="P32" i="1"/>
  <c r="P10" i="1"/>
  <c r="P16" i="1"/>
  <c r="P62" i="1"/>
  <c r="P11" i="1"/>
  <c r="P17" i="1"/>
  <c r="P33" i="1"/>
  <c r="P63" i="1"/>
  <c r="P64" i="1"/>
  <c r="P34" i="1"/>
  <c r="P18" i="1"/>
  <c r="P35" i="1"/>
  <c r="P25" i="1"/>
  <c r="P65" i="1"/>
  <c r="P12" i="1"/>
  <c r="P36" i="1"/>
  <c r="P37" i="1"/>
  <c r="P84" i="1"/>
  <c r="P82" i="1"/>
  <c r="P19" i="1"/>
  <c r="P38" i="1"/>
  <c r="P26" i="1"/>
  <c r="P83" i="1"/>
  <c r="P66" i="1"/>
  <c r="P39" i="1"/>
  <c r="P73" i="1"/>
  <c r="P88" i="1"/>
  <c r="P79" i="1"/>
  <c r="P13" i="1"/>
  <c r="P20" i="1"/>
  <c r="P4" i="1"/>
  <c r="P87" i="1"/>
  <c r="P40" i="1"/>
  <c r="P9" i="1"/>
  <c r="P41" i="1"/>
  <c r="P21" i="1"/>
  <c r="P74" i="1"/>
  <c r="P42" i="1"/>
  <c r="P27" i="1"/>
  <c r="P59" i="1"/>
  <c r="P28" i="1"/>
  <c r="P43" i="1"/>
  <c r="P44" i="1"/>
  <c r="P45" i="1"/>
  <c r="P67" i="1"/>
  <c r="P46" i="1"/>
  <c r="P47" i="1"/>
  <c r="P48" i="1"/>
  <c r="P49" i="1"/>
  <c r="P22" i="1"/>
  <c r="P14" i="1"/>
  <c r="P89" i="1"/>
  <c r="P60" i="1"/>
  <c r="P51" i="1"/>
  <c r="P52" i="1"/>
  <c r="P2" i="1"/>
  <c r="P68" i="1"/>
  <c r="P3" i="1"/>
  <c r="P92" i="1"/>
  <c r="P90" i="1"/>
  <c r="P53" i="1"/>
  <c r="P54" i="1"/>
  <c r="P55" i="1"/>
  <c r="P56" i="1"/>
  <c r="P5" i="1"/>
  <c r="P6" i="1"/>
  <c r="P7" i="1"/>
  <c r="P80" i="1"/>
  <c r="P75" i="1"/>
  <c r="P76" i="1"/>
  <c r="P77" i="1"/>
  <c r="P85" i="1"/>
  <c r="P69" i="1"/>
  <c r="P70" i="1"/>
  <c r="P57" i="1"/>
  <c r="P58" i="1"/>
  <c r="P86" i="1"/>
  <c r="P78" i="1"/>
  <c r="P61" i="1"/>
  <c r="P29" i="1"/>
  <c r="X71" i="1"/>
  <c r="X61" i="1"/>
  <c r="X78" i="1"/>
  <c r="X86" i="1"/>
  <c r="X58" i="1"/>
  <c r="X57" i="1"/>
  <c r="X70" i="1"/>
  <c r="X69" i="1"/>
  <c r="X77" i="1"/>
  <c r="X76" i="1"/>
  <c r="X75" i="1"/>
  <c r="X80" i="1"/>
  <c r="X7" i="1"/>
  <c r="X6" i="1"/>
  <c r="X5" i="1"/>
  <c r="X56" i="1"/>
  <c r="X55" i="1"/>
  <c r="X54" i="1"/>
  <c r="X53" i="1"/>
  <c r="X90" i="1"/>
  <c r="X92" i="1"/>
  <c r="X3" i="1"/>
  <c r="X68" i="1"/>
  <c r="X2" i="1"/>
  <c r="X52" i="1"/>
  <c r="X51" i="1"/>
  <c r="X60" i="1"/>
  <c r="X89" i="1"/>
  <c r="X50" i="1"/>
  <c r="X14" i="1"/>
  <c r="X49" i="1"/>
  <c r="X48" i="1"/>
  <c r="X47" i="1"/>
  <c r="X46" i="1"/>
  <c r="X67" i="1"/>
  <c r="X45" i="1"/>
  <c r="X44" i="1"/>
  <c r="X43" i="1"/>
  <c r="X28" i="1"/>
  <c r="X59" i="1"/>
  <c r="X42" i="1"/>
  <c r="X21" i="1"/>
  <c r="X41" i="1"/>
  <c r="X40" i="1"/>
  <c r="X87" i="1"/>
  <c r="X4" i="1"/>
  <c r="X13" i="1"/>
  <c r="X79" i="1"/>
  <c r="X39" i="1"/>
  <c r="X66" i="1"/>
  <c r="X83" i="1"/>
  <c r="X38" i="1"/>
  <c r="X19" i="1"/>
  <c r="X82" i="1"/>
  <c r="X84" i="1"/>
  <c r="X37" i="1"/>
  <c r="X36" i="1"/>
  <c r="X12" i="1"/>
  <c r="X35" i="1"/>
  <c r="X18" i="1"/>
  <c r="X34" i="1"/>
  <c r="X30" i="1"/>
  <c r="X31" i="1"/>
  <c r="X91" i="1"/>
  <c r="X32" i="1"/>
  <c r="X10" i="1"/>
  <c r="X16" i="1"/>
  <c r="X62" i="1"/>
  <c r="X11" i="1"/>
  <c r="X17" i="1"/>
  <c r="X29" i="1"/>
  <c r="E6" i="3"/>
  <c r="D6" i="3"/>
  <c r="C6" i="3"/>
  <c r="I5" i="3"/>
  <c r="F5" i="3"/>
  <c r="F4" i="3"/>
  <c r="I3" i="3"/>
  <c r="F3" i="3"/>
  <c r="I2" i="3"/>
  <c r="F2" i="3"/>
  <c r="L233" i="2"/>
  <c r="H224" i="2"/>
  <c r="J224" i="2" s="1"/>
  <c r="H223" i="2"/>
  <c r="J223" i="2" s="1"/>
  <c r="K223" i="2" s="1"/>
  <c r="H222" i="2"/>
  <c r="J222" i="2" s="1"/>
  <c r="K222" i="2" s="1"/>
  <c r="H221" i="2"/>
  <c r="J221" i="2" s="1"/>
  <c r="K221" i="2" s="1"/>
  <c r="H220" i="2"/>
  <c r="J220" i="2" s="1"/>
  <c r="H219" i="2"/>
  <c r="J219" i="2" s="1"/>
  <c r="K219" i="2" s="1"/>
  <c r="H218" i="2"/>
  <c r="J218" i="2" s="1"/>
  <c r="K218" i="2" s="1"/>
  <c r="H217" i="2"/>
  <c r="J217" i="2" s="1"/>
  <c r="K217" i="2" s="1"/>
  <c r="H216" i="2"/>
  <c r="J216" i="2" s="1"/>
  <c r="H215" i="2"/>
  <c r="J215" i="2" s="1"/>
  <c r="K215" i="2" s="1"/>
  <c r="H214" i="2"/>
  <c r="J214" i="2" s="1"/>
  <c r="K214" i="2" s="1"/>
  <c r="H213" i="2"/>
  <c r="J213" i="2" s="1"/>
  <c r="K213" i="2" s="1"/>
  <c r="H212" i="2"/>
  <c r="J212" i="2" s="1"/>
  <c r="K212" i="2" s="1"/>
  <c r="H211" i="2"/>
  <c r="J211" i="2" s="1"/>
  <c r="K211" i="2" s="1"/>
  <c r="H210" i="2"/>
  <c r="J210" i="2" s="1"/>
  <c r="K210" i="2" s="1"/>
  <c r="H209" i="2"/>
  <c r="J209" i="2" s="1"/>
  <c r="K209" i="2" s="1"/>
  <c r="H208" i="2"/>
  <c r="J208" i="2" s="1"/>
  <c r="H207" i="2"/>
  <c r="J207" i="2" s="1"/>
  <c r="K207" i="2" s="1"/>
  <c r="H206" i="2"/>
  <c r="J206" i="2" s="1"/>
  <c r="H205" i="2"/>
  <c r="J205" i="2" s="1"/>
  <c r="K205" i="2" s="1"/>
  <c r="H204" i="2"/>
  <c r="J204" i="2" s="1"/>
  <c r="H203" i="2"/>
  <c r="J203" i="2" s="1"/>
  <c r="K203" i="2" s="1"/>
  <c r="H202" i="2"/>
  <c r="J202" i="2" s="1"/>
  <c r="K202" i="2" s="1"/>
  <c r="H201" i="2"/>
  <c r="J201" i="2" s="1"/>
  <c r="K201" i="2" s="1"/>
  <c r="H200" i="2"/>
  <c r="J200" i="2" s="1"/>
  <c r="H199" i="2"/>
  <c r="J199" i="2" s="1"/>
  <c r="K199" i="2" s="1"/>
  <c r="H198" i="2"/>
  <c r="J198" i="2" s="1"/>
  <c r="K198" i="2" s="1"/>
  <c r="H197" i="2"/>
  <c r="J197" i="2" s="1"/>
  <c r="K197" i="2" s="1"/>
  <c r="H196" i="2"/>
  <c r="J196" i="2" s="1"/>
  <c r="K196" i="2" s="1"/>
  <c r="H195" i="2"/>
  <c r="J195" i="2" s="1"/>
  <c r="K195" i="2" s="1"/>
  <c r="H194" i="2"/>
  <c r="J194" i="2" s="1"/>
  <c r="K194" i="2" s="1"/>
  <c r="H193" i="2"/>
  <c r="J193" i="2" s="1"/>
  <c r="K193" i="2" s="1"/>
  <c r="H192" i="2"/>
  <c r="J192" i="2" s="1"/>
  <c r="H191" i="2"/>
  <c r="J191" i="2" s="1"/>
  <c r="K191" i="2" s="1"/>
  <c r="H190" i="2"/>
  <c r="J190" i="2" s="1"/>
  <c r="H189" i="2"/>
  <c r="J189" i="2" s="1"/>
  <c r="K189" i="2" s="1"/>
  <c r="H188" i="2"/>
  <c r="J188" i="2" s="1"/>
  <c r="H187" i="2"/>
  <c r="J187" i="2" s="1"/>
  <c r="K187" i="2" s="1"/>
  <c r="J186" i="2"/>
  <c r="K186" i="2" s="1"/>
  <c r="J185" i="2"/>
  <c r="K185" i="2" s="1"/>
  <c r="M185" i="2" s="1"/>
  <c r="H184" i="2"/>
  <c r="J184" i="2" s="1"/>
  <c r="K184" i="2" s="1"/>
  <c r="H182" i="2"/>
  <c r="J182" i="2" s="1"/>
  <c r="K182" i="2" s="1"/>
  <c r="H181" i="2"/>
  <c r="J181" i="2" s="1"/>
  <c r="H180" i="2"/>
  <c r="J180" i="2" s="1"/>
  <c r="K180" i="2" s="1"/>
  <c r="H117" i="2"/>
  <c r="J117" i="2" s="1"/>
  <c r="H116" i="2"/>
  <c r="J116" i="2" s="1"/>
  <c r="K116" i="2" s="1"/>
  <c r="H115" i="2"/>
  <c r="J115" i="2" s="1"/>
  <c r="H114" i="2"/>
  <c r="J114" i="2" s="1"/>
  <c r="K114" i="2" s="1"/>
  <c r="H113" i="2"/>
  <c r="J113" i="2" s="1"/>
  <c r="K113" i="2" s="1"/>
  <c r="H112" i="2"/>
  <c r="J112" i="2" s="1"/>
  <c r="K112" i="2" s="1"/>
  <c r="H111" i="2"/>
  <c r="J111" i="2" s="1"/>
  <c r="H110" i="2"/>
  <c r="J110" i="2" s="1"/>
  <c r="K110" i="2" s="1"/>
  <c r="H109" i="2"/>
  <c r="J109" i="2" s="1"/>
  <c r="K109" i="2" s="1"/>
  <c r="H108" i="2"/>
  <c r="J108" i="2" s="1"/>
  <c r="K108" i="2" s="1"/>
  <c r="H107" i="2"/>
  <c r="J107" i="2" s="1"/>
  <c r="K107" i="2" s="1"/>
  <c r="H106" i="2"/>
  <c r="J106" i="2" s="1"/>
  <c r="K106" i="2" s="1"/>
  <c r="H105" i="2"/>
  <c r="J105" i="2" s="1"/>
  <c r="K105" i="2" s="1"/>
  <c r="H104" i="2"/>
  <c r="J104" i="2" s="1"/>
  <c r="K104" i="2" s="1"/>
  <c r="H103" i="2"/>
  <c r="J103" i="2" s="1"/>
  <c r="H102" i="2"/>
  <c r="J102" i="2" s="1"/>
  <c r="K102" i="2" s="1"/>
  <c r="H101" i="2"/>
  <c r="J101" i="2" s="1"/>
  <c r="H100" i="2"/>
  <c r="J100" i="2" s="1"/>
  <c r="K100" i="2" s="1"/>
  <c r="H99" i="2"/>
  <c r="J99" i="2" s="1"/>
  <c r="H98" i="2"/>
  <c r="J98" i="2" s="1"/>
  <c r="K98" i="2" s="1"/>
  <c r="H97" i="2"/>
  <c r="J97" i="2" s="1"/>
  <c r="K97" i="2" s="1"/>
  <c r="H96" i="2"/>
  <c r="J96" i="2" s="1"/>
  <c r="K96" i="2" s="1"/>
  <c r="H95" i="2"/>
  <c r="J95" i="2" s="1"/>
  <c r="H94" i="2"/>
  <c r="J94" i="2" s="1"/>
  <c r="K94" i="2" s="1"/>
  <c r="H93" i="2"/>
  <c r="J93" i="2" s="1"/>
  <c r="K93" i="2" s="1"/>
  <c r="H92" i="2"/>
  <c r="J92" i="2" s="1"/>
  <c r="K92" i="2" s="1"/>
  <c r="H91" i="2"/>
  <c r="J91" i="2" s="1"/>
  <c r="K91" i="2" s="1"/>
  <c r="H90" i="2"/>
  <c r="J90" i="2" s="1"/>
  <c r="K90" i="2" s="1"/>
  <c r="H89" i="2"/>
  <c r="J89" i="2" s="1"/>
  <c r="K89" i="2" s="1"/>
  <c r="H88" i="2"/>
  <c r="J88" i="2" s="1"/>
  <c r="K88" i="2" s="1"/>
  <c r="H87" i="2"/>
  <c r="J87" i="2" s="1"/>
  <c r="H86" i="2"/>
  <c r="J86" i="2" s="1"/>
  <c r="K86" i="2" s="1"/>
  <c r="H85" i="2"/>
  <c r="J85" i="2" s="1"/>
  <c r="J84" i="2"/>
  <c r="K84" i="2" s="1"/>
  <c r="H84" i="2"/>
  <c r="H83" i="2"/>
  <c r="J83" i="2" s="1"/>
  <c r="H82" i="2"/>
  <c r="J82" i="2" s="1"/>
  <c r="K82" i="2" s="1"/>
  <c r="H81" i="2"/>
  <c r="J81" i="2" s="1"/>
  <c r="K81" i="2" s="1"/>
  <c r="H80" i="2"/>
  <c r="J80" i="2" s="1"/>
  <c r="K80" i="2" s="1"/>
  <c r="H79" i="2"/>
  <c r="J79" i="2" s="1"/>
  <c r="H78" i="2"/>
  <c r="J78" i="2" s="1"/>
  <c r="K78" i="2" s="1"/>
  <c r="H77" i="2"/>
  <c r="J77" i="2" s="1"/>
  <c r="K77" i="2" s="1"/>
  <c r="H76" i="2"/>
  <c r="J76" i="2" s="1"/>
  <c r="K76" i="2" s="1"/>
  <c r="H75" i="2"/>
  <c r="J75" i="2" s="1"/>
  <c r="H74" i="2"/>
  <c r="J74" i="2" s="1"/>
  <c r="K74" i="2" s="1"/>
  <c r="H73" i="2"/>
  <c r="J73" i="2" s="1"/>
  <c r="K73" i="2" s="1"/>
  <c r="M73" i="2" s="1"/>
  <c r="H72" i="2"/>
  <c r="J72" i="2" s="1"/>
  <c r="K72" i="2" s="1"/>
  <c r="H71" i="2"/>
  <c r="J71" i="2" s="1"/>
  <c r="K71" i="2" s="1"/>
  <c r="M71" i="2" s="1"/>
  <c r="H70" i="2"/>
  <c r="J70" i="2" s="1"/>
  <c r="K70" i="2" s="1"/>
  <c r="H69" i="2"/>
  <c r="J69" i="2" s="1"/>
  <c r="H68" i="2"/>
  <c r="J68" i="2" s="1"/>
  <c r="K68" i="2" s="1"/>
  <c r="H67" i="2"/>
  <c r="J67" i="2" s="1"/>
  <c r="H66" i="2"/>
  <c r="J66" i="2" s="1"/>
  <c r="H65" i="2"/>
  <c r="J65" i="2" s="1"/>
  <c r="K65" i="2" s="1"/>
  <c r="M65" i="2" s="1"/>
  <c r="H64" i="2"/>
  <c r="J64" i="2" s="1"/>
  <c r="K64" i="2" s="1"/>
  <c r="M63" i="2"/>
  <c r="H63" i="2"/>
  <c r="J63" i="2" s="1"/>
  <c r="K63" i="2" s="1"/>
  <c r="H62" i="2"/>
  <c r="J62" i="2" s="1"/>
  <c r="K62" i="2" s="1"/>
  <c r="H61" i="2"/>
  <c r="J61" i="2" s="1"/>
  <c r="H60" i="2"/>
  <c r="J60" i="2" s="1"/>
  <c r="K60" i="2" s="1"/>
  <c r="H59" i="2"/>
  <c r="J59" i="2" s="1"/>
  <c r="H58" i="2"/>
  <c r="J58" i="2" s="1"/>
  <c r="H57" i="2"/>
  <c r="J57" i="2" s="1"/>
  <c r="K57" i="2" s="1"/>
  <c r="M57" i="2" s="1"/>
  <c r="H56" i="2"/>
  <c r="J56" i="2" s="1"/>
  <c r="K56" i="2" s="1"/>
  <c r="H55" i="2"/>
  <c r="J55" i="2" s="1"/>
  <c r="K55" i="2" s="1"/>
  <c r="M55" i="2" s="1"/>
  <c r="H54" i="2"/>
  <c r="J54" i="2" s="1"/>
  <c r="K54" i="2" s="1"/>
  <c r="H53" i="2"/>
  <c r="J53" i="2" s="1"/>
  <c r="H52" i="2"/>
  <c r="J52" i="2" s="1"/>
  <c r="K52" i="2" s="1"/>
  <c r="H51" i="2"/>
  <c r="J51" i="2" s="1"/>
  <c r="H50" i="2"/>
  <c r="J50" i="2" s="1"/>
  <c r="H49" i="2"/>
  <c r="J49" i="2" s="1"/>
  <c r="K49" i="2" s="1"/>
  <c r="M49" i="2" s="1"/>
  <c r="H48" i="2"/>
  <c r="J48" i="2" s="1"/>
  <c r="K48" i="2" s="1"/>
  <c r="H47" i="2"/>
  <c r="J47" i="2" s="1"/>
  <c r="K47" i="2" s="1"/>
  <c r="H46" i="2"/>
  <c r="J46" i="2" s="1"/>
  <c r="K46" i="2" s="1"/>
  <c r="H45" i="2"/>
  <c r="J45" i="2" s="1"/>
  <c r="H44" i="2"/>
  <c r="J44" i="2" s="1"/>
  <c r="K44" i="2" s="1"/>
  <c r="H43" i="2"/>
  <c r="J43" i="2" s="1"/>
  <c r="H42" i="2"/>
  <c r="J42" i="2" s="1"/>
  <c r="H41" i="2"/>
  <c r="J41" i="2" s="1"/>
  <c r="K41" i="2" s="1"/>
  <c r="M41" i="2" s="1"/>
  <c r="H40" i="2"/>
  <c r="J40" i="2" s="1"/>
  <c r="K40" i="2" s="1"/>
  <c r="H39" i="2"/>
  <c r="J39" i="2" s="1"/>
  <c r="K39" i="2" s="1"/>
  <c r="M39" i="2" s="1"/>
  <c r="H38" i="2"/>
  <c r="J38" i="2" s="1"/>
  <c r="K38" i="2" s="1"/>
  <c r="H37" i="2"/>
  <c r="J37" i="2" s="1"/>
  <c r="H36" i="2"/>
  <c r="J36" i="2" s="1"/>
  <c r="K36" i="2" s="1"/>
  <c r="H35" i="2"/>
  <c r="J35" i="2" s="1"/>
  <c r="H34" i="2"/>
  <c r="J34" i="2" s="1"/>
  <c r="H33" i="2"/>
  <c r="J33" i="2" s="1"/>
  <c r="K33" i="2" s="1"/>
  <c r="M33" i="2" s="1"/>
  <c r="H32" i="2"/>
  <c r="J32" i="2" s="1"/>
  <c r="K32" i="2" s="1"/>
  <c r="H31" i="2"/>
  <c r="J31" i="2" s="1"/>
  <c r="K31" i="2" s="1"/>
  <c r="H30" i="2"/>
  <c r="J30" i="2" s="1"/>
  <c r="K30" i="2" s="1"/>
  <c r="H29" i="2"/>
  <c r="J29" i="2" s="1"/>
  <c r="H28" i="2"/>
  <c r="J28" i="2" s="1"/>
  <c r="K28" i="2" s="1"/>
  <c r="H27" i="2"/>
  <c r="J27" i="2" s="1"/>
  <c r="H26" i="2"/>
  <c r="J26" i="2" s="1"/>
  <c r="H25" i="2"/>
  <c r="J25" i="2" s="1"/>
  <c r="K25" i="2" s="1"/>
  <c r="M25" i="2" s="1"/>
  <c r="J24" i="2"/>
  <c r="K24" i="2" s="1"/>
  <c r="J23" i="2"/>
  <c r="J22" i="2"/>
  <c r="J21" i="2"/>
  <c r="K21" i="2" s="1"/>
  <c r="J20" i="2"/>
  <c r="K20" i="2" s="1"/>
  <c r="M20" i="2" s="1"/>
  <c r="K19" i="2"/>
  <c r="M19" i="2" s="1"/>
  <c r="I18" i="2"/>
  <c r="J18" i="2" s="1"/>
  <c r="K18" i="2" s="1"/>
  <c r="H18" i="2"/>
  <c r="H17" i="2"/>
  <c r="J17" i="2" s="1"/>
  <c r="K17" i="2" s="1"/>
  <c r="H16" i="2"/>
  <c r="J16" i="2" s="1"/>
  <c r="H15" i="2"/>
  <c r="J15" i="2" s="1"/>
  <c r="K15" i="2" s="1"/>
  <c r="H14" i="2"/>
  <c r="J14" i="2" s="1"/>
  <c r="K14" i="2" s="1"/>
  <c r="M14" i="2" s="1"/>
  <c r="H13" i="2"/>
  <c r="J13" i="2" s="1"/>
  <c r="K13" i="2" s="1"/>
  <c r="H12" i="2"/>
  <c r="J12" i="2" s="1"/>
  <c r="H11" i="2"/>
  <c r="J11" i="2" s="1"/>
  <c r="H10" i="2"/>
  <c r="J10" i="2" s="1"/>
  <c r="K10" i="2" s="1"/>
  <c r="M10" i="2" s="1"/>
  <c r="H9" i="2"/>
  <c r="J9" i="2" s="1"/>
  <c r="K9" i="2" s="1"/>
  <c r="M9" i="2" s="1"/>
  <c r="H8" i="2"/>
  <c r="J8" i="2" s="1"/>
  <c r="H7" i="2"/>
  <c r="J7" i="2" s="1"/>
  <c r="H6" i="2"/>
  <c r="J6" i="2" s="1"/>
  <c r="K6" i="2" s="1"/>
  <c r="H5" i="2"/>
  <c r="J5" i="2" s="1"/>
  <c r="H4" i="2"/>
  <c r="J4" i="2" s="1"/>
  <c r="K4" i="2" s="1"/>
  <c r="M4" i="2" s="1"/>
  <c r="H3" i="2"/>
  <c r="J3" i="2" s="1"/>
  <c r="H2" i="2"/>
  <c r="J2" i="2" s="1"/>
  <c r="K2" i="2" s="1"/>
  <c r="E71" i="1"/>
  <c r="G71" i="1" s="1"/>
  <c r="I71" i="1" s="1"/>
  <c r="J71" i="1" s="1"/>
  <c r="W61" i="1"/>
  <c r="V61" i="1"/>
  <c r="E61" i="1"/>
  <c r="G61" i="1" s="1"/>
  <c r="I61" i="1" s="1"/>
  <c r="J61" i="1" s="1"/>
  <c r="W78" i="1"/>
  <c r="V78" i="1"/>
  <c r="M78" i="1"/>
  <c r="E78" i="1"/>
  <c r="G78" i="1" s="1"/>
  <c r="I78" i="1" s="1"/>
  <c r="J78" i="1" s="1"/>
  <c r="W86" i="1"/>
  <c r="V86" i="1"/>
  <c r="E86" i="1"/>
  <c r="G86" i="1" s="1"/>
  <c r="I86" i="1" s="1"/>
  <c r="J86" i="1" s="1"/>
  <c r="W58" i="1"/>
  <c r="V58" i="1"/>
  <c r="E58" i="1"/>
  <c r="G58" i="1" s="1"/>
  <c r="I58" i="1" s="1"/>
  <c r="J58" i="1" s="1"/>
  <c r="W57" i="1"/>
  <c r="V57" i="1"/>
  <c r="E57" i="1"/>
  <c r="G57" i="1" s="1"/>
  <c r="I57" i="1" s="1"/>
  <c r="J57" i="1" s="1"/>
  <c r="W70" i="1"/>
  <c r="V70" i="1"/>
  <c r="E70" i="1"/>
  <c r="G70" i="1" s="1"/>
  <c r="I70" i="1" s="1"/>
  <c r="J70" i="1" s="1"/>
  <c r="W69" i="1"/>
  <c r="V69" i="1"/>
  <c r="E69" i="1"/>
  <c r="G69" i="1" s="1"/>
  <c r="I69" i="1" s="1"/>
  <c r="J69" i="1" s="1"/>
  <c r="W85" i="1"/>
  <c r="V85" i="1"/>
  <c r="L85" i="1"/>
  <c r="M85" i="1" s="1"/>
  <c r="H85" i="1"/>
  <c r="E85" i="1"/>
  <c r="G85" i="1" s="1"/>
  <c r="W77" i="1"/>
  <c r="V77" i="1"/>
  <c r="M77" i="1"/>
  <c r="E77" i="1"/>
  <c r="G77" i="1" s="1"/>
  <c r="I77" i="1" s="1"/>
  <c r="J77" i="1" s="1"/>
  <c r="W76" i="1"/>
  <c r="V76" i="1"/>
  <c r="M76" i="1"/>
  <c r="E76" i="1"/>
  <c r="G76" i="1" s="1"/>
  <c r="I76" i="1" s="1"/>
  <c r="J76" i="1" s="1"/>
  <c r="W75" i="1"/>
  <c r="V75" i="1"/>
  <c r="M75" i="1"/>
  <c r="E75" i="1"/>
  <c r="G75" i="1" s="1"/>
  <c r="I75" i="1" s="1"/>
  <c r="J75" i="1" s="1"/>
  <c r="W80" i="1"/>
  <c r="V80" i="1"/>
  <c r="E80" i="1"/>
  <c r="G80" i="1" s="1"/>
  <c r="I80" i="1" s="1"/>
  <c r="J80" i="1" s="1"/>
  <c r="W7" i="1"/>
  <c r="V7" i="1"/>
  <c r="E7" i="1"/>
  <c r="G7" i="1" s="1"/>
  <c r="I7" i="1" s="1"/>
  <c r="J7" i="1" s="1"/>
  <c r="W6" i="1"/>
  <c r="V6" i="1"/>
  <c r="E6" i="1"/>
  <c r="G6" i="1" s="1"/>
  <c r="I6" i="1" s="1"/>
  <c r="J6" i="1" s="1"/>
  <c r="W5" i="1"/>
  <c r="V5" i="1"/>
  <c r="E5" i="1"/>
  <c r="G5" i="1" s="1"/>
  <c r="I5" i="1" s="1"/>
  <c r="J5" i="1" s="1"/>
  <c r="W56" i="1"/>
  <c r="V56" i="1"/>
  <c r="E56" i="1"/>
  <c r="G56" i="1" s="1"/>
  <c r="I56" i="1" s="1"/>
  <c r="J56" i="1" s="1"/>
  <c r="W55" i="1"/>
  <c r="V55" i="1"/>
  <c r="E55" i="1"/>
  <c r="G55" i="1" s="1"/>
  <c r="I55" i="1" s="1"/>
  <c r="J55" i="1" s="1"/>
  <c r="W54" i="1"/>
  <c r="V54" i="1"/>
  <c r="E54" i="1"/>
  <c r="G54" i="1" s="1"/>
  <c r="I54" i="1" s="1"/>
  <c r="J54" i="1" s="1"/>
  <c r="W53" i="1"/>
  <c r="V53" i="1"/>
  <c r="E53" i="1"/>
  <c r="G53" i="1" s="1"/>
  <c r="I53" i="1" s="1"/>
  <c r="J53" i="1" s="1"/>
  <c r="W90" i="1"/>
  <c r="V90" i="1"/>
  <c r="E90" i="1"/>
  <c r="G90" i="1" s="1"/>
  <c r="I90" i="1" s="1"/>
  <c r="J90" i="1" s="1"/>
  <c r="W92" i="1"/>
  <c r="V92" i="1"/>
  <c r="M92" i="1"/>
  <c r="E92" i="1"/>
  <c r="G92" i="1" s="1"/>
  <c r="I92" i="1" s="1"/>
  <c r="J92" i="1" s="1"/>
  <c r="W3" i="1"/>
  <c r="V3" i="1"/>
  <c r="M3" i="1"/>
  <c r="E3" i="1"/>
  <c r="G3" i="1" s="1"/>
  <c r="I3" i="1" s="1"/>
  <c r="J3" i="1" s="1"/>
  <c r="W68" i="1"/>
  <c r="V68" i="1"/>
  <c r="E68" i="1"/>
  <c r="G68" i="1" s="1"/>
  <c r="I68" i="1" s="1"/>
  <c r="J68" i="1" s="1"/>
  <c r="W2" i="1"/>
  <c r="V2" i="1"/>
  <c r="E2" i="1"/>
  <c r="G2" i="1" s="1"/>
  <c r="I2" i="1" s="1"/>
  <c r="J2" i="1" s="1"/>
  <c r="W52" i="1"/>
  <c r="V52" i="1"/>
  <c r="E52" i="1"/>
  <c r="G52" i="1" s="1"/>
  <c r="I52" i="1" s="1"/>
  <c r="J52" i="1" s="1"/>
  <c r="W51" i="1"/>
  <c r="V51" i="1"/>
  <c r="E51" i="1"/>
  <c r="G51" i="1" s="1"/>
  <c r="I51" i="1" s="1"/>
  <c r="J51" i="1" s="1"/>
  <c r="W60" i="1"/>
  <c r="V60" i="1"/>
  <c r="E60" i="1"/>
  <c r="G60" i="1" s="1"/>
  <c r="I60" i="1" s="1"/>
  <c r="J60" i="1" s="1"/>
  <c r="W89" i="1"/>
  <c r="V89" i="1"/>
  <c r="E89" i="1"/>
  <c r="G89" i="1" s="1"/>
  <c r="I89" i="1" s="1"/>
  <c r="J89" i="1" s="1"/>
  <c r="W50" i="1"/>
  <c r="V50" i="1"/>
  <c r="E50" i="1"/>
  <c r="G50" i="1" s="1"/>
  <c r="I50" i="1" s="1"/>
  <c r="J50" i="1" s="1"/>
  <c r="W14" i="1"/>
  <c r="V14" i="1"/>
  <c r="M14" i="1"/>
  <c r="F14" i="1"/>
  <c r="E14" i="1"/>
  <c r="W22" i="1"/>
  <c r="V22" i="1"/>
  <c r="L22" i="1"/>
  <c r="M22" i="1" s="1"/>
  <c r="D22" i="1"/>
  <c r="W49" i="1"/>
  <c r="V49" i="1"/>
  <c r="M49" i="1"/>
  <c r="E49" i="1"/>
  <c r="G49" i="1" s="1"/>
  <c r="I49" i="1" s="1"/>
  <c r="J49" i="1" s="1"/>
  <c r="W48" i="1"/>
  <c r="V48" i="1"/>
  <c r="M48" i="1"/>
  <c r="E48" i="1"/>
  <c r="G48" i="1" s="1"/>
  <c r="I48" i="1" s="1"/>
  <c r="J48" i="1" s="1"/>
  <c r="W47" i="1"/>
  <c r="V47" i="1"/>
  <c r="M47" i="1"/>
  <c r="E47" i="1"/>
  <c r="G47" i="1" s="1"/>
  <c r="I47" i="1" s="1"/>
  <c r="J47" i="1" s="1"/>
  <c r="W46" i="1"/>
  <c r="V46" i="1"/>
  <c r="M46" i="1"/>
  <c r="E46" i="1"/>
  <c r="G46" i="1" s="1"/>
  <c r="I46" i="1" s="1"/>
  <c r="J46" i="1" s="1"/>
  <c r="W67" i="1"/>
  <c r="V67" i="1"/>
  <c r="M67" i="1"/>
  <c r="E67" i="1"/>
  <c r="G67" i="1" s="1"/>
  <c r="I67" i="1" s="1"/>
  <c r="J67" i="1" s="1"/>
  <c r="W45" i="1"/>
  <c r="V45" i="1"/>
  <c r="M45" i="1"/>
  <c r="E45" i="1"/>
  <c r="G45" i="1" s="1"/>
  <c r="I45" i="1" s="1"/>
  <c r="J45" i="1" s="1"/>
  <c r="W44" i="1"/>
  <c r="V44" i="1"/>
  <c r="M44" i="1"/>
  <c r="E44" i="1"/>
  <c r="G44" i="1" s="1"/>
  <c r="I44" i="1" s="1"/>
  <c r="J44" i="1" s="1"/>
  <c r="W43" i="1"/>
  <c r="V43" i="1"/>
  <c r="M43" i="1"/>
  <c r="E43" i="1"/>
  <c r="G43" i="1" s="1"/>
  <c r="I43" i="1" s="1"/>
  <c r="J43" i="1" s="1"/>
  <c r="W28" i="1"/>
  <c r="V28" i="1"/>
  <c r="M28" i="1"/>
  <c r="E28" i="1"/>
  <c r="G28" i="1" s="1"/>
  <c r="I28" i="1" s="1"/>
  <c r="J28" i="1" s="1"/>
  <c r="W59" i="1"/>
  <c r="V59" i="1"/>
  <c r="M59" i="1"/>
  <c r="E59" i="1"/>
  <c r="G59" i="1" s="1"/>
  <c r="I59" i="1" s="1"/>
  <c r="J59" i="1" s="1"/>
  <c r="W27" i="1"/>
  <c r="V27" i="1"/>
  <c r="L27" i="1"/>
  <c r="M27" i="1" s="1"/>
  <c r="E27" i="1"/>
  <c r="G27" i="1" s="1"/>
  <c r="I27" i="1" s="1"/>
  <c r="J27" i="1" s="1"/>
  <c r="W42" i="1"/>
  <c r="V42" i="1"/>
  <c r="M42" i="1"/>
  <c r="E42" i="1"/>
  <c r="G42" i="1" s="1"/>
  <c r="I42" i="1" s="1"/>
  <c r="J42" i="1" s="1"/>
  <c r="W74" i="1"/>
  <c r="V74" i="1"/>
  <c r="L74" i="1"/>
  <c r="X74" i="1" s="1"/>
  <c r="E74" i="1"/>
  <c r="G74" i="1" s="1"/>
  <c r="I74" i="1" s="1"/>
  <c r="J74" i="1" s="1"/>
  <c r="W21" i="1"/>
  <c r="V21" i="1"/>
  <c r="M21" i="1"/>
  <c r="E21" i="1"/>
  <c r="G21" i="1" s="1"/>
  <c r="I21" i="1" s="1"/>
  <c r="J21" i="1" s="1"/>
  <c r="W41" i="1"/>
  <c r="V41" i="1"/>
  <c r="M41" i="1"/>
  <c r="E41" i="1"/>
  <c r="G41" i="1" s="1"/>
  <c r="I41" i="1" s="1"/>
  <c r="J41" i="1" s="1"/>
  <c r="W9" i="1"/>
  <c r="V9" i="1"/>
  <c r="L9" i="1"/>
  <c r="M9" i="1" s="1"/>
  <c r="F9" i="1"/>
  <c r="D9" i="1"/>
  <c r="W40" i="1"/>
  <c r="V40" i="1"/>
  <c r="M40" i="1"/>
  <c r="E40" i="1"/>
  <c r="G40" i="1" s="1"/>
  <c r="I40" i="1" s="1"/>
  <c r="J40" i="1" s="1"/>
  <c r="W87" i="1"/>
  <c r="V87" i="1"/>
  <c r="M87" i="1"/>
  <c r="E87" i="1"/>
  <c r="G87" i="1" s="1"/>
  <c r="I87" i="1" s="1"/>
  <c r="J87" i="1" s="1"/>
  <c r="W4" i="1"/>
  <c r="V4" i="1"/>
  <c r="M4" i="1"/>
  <c r="E4" i="1"/>
  <c r="G4" i="1" s="1"/>
  <c r="I4" i="1" s="1"/>
  <c r="J4" i="1" s="1"/>
  <c r="V20" i="1"/>
  <c r="K20" i="1"/>
  <c r="M20" i="1" s="1"/>
  <c r="H20" i="1"/>
  <c r="F20" i="1"/>
  <c r="D20" i="1"/>
  <c r="E20" i="1" s="1"/>
  <c r="W13" i="1"/>
  <c r="V13" i="1"/>
  <c r="M13" i="1"/>
  <c r="E13" i="1"/>
  <c r="G13" i="1" s="1"/>
  <c r="I13" i="1" s="1"/>
  <c r="J13" i="1" s="1"/>
  <c r="W79" i="1"/>
  <c r="V79" i="1"/>
  <c r="M79" i="1"/>
  <c r="E79" i="1"/>
  <c r="G79" i="1" s="1"/>
  <c r="I79" i="1" s="1"/>
  <c r="J79" i="1" s="1"/>
  <c r="W88" i="1"/>
  <c r="V88" i="1"/>
  <c r="L88" i="1"/>
  <c r="M88" i="1" s="1"/>
  <c r="F88" i="1"/>
  <c r="D88" i="1"/>
  <c r="W73" i="1"/>
  <c r="V73" i="1"/>
  <c r="L73" i="1"/>
  <c r="X73" i="1" s="1"/>
  <c r="F73" i="1"/>
  <c r="D73" i="1"/>
  <c r="E73" i="1" s="1"/>
  <c r="W39" i="1"/>
  <c r="V39" i="1"/>
  <c r="M39" i="1"/>
  <c r="E39" i="1"/>
  <c r="G39" i="1" s="1"/>
  <c r="I39" i="1" s="1"/>
  <c r="J39" i="1" s="1"/>
  <c r="W66" i="1"/>
  <c r="V66" i="1"/>
  <c r="M66" i="1"/>
  <c r="E66" i="1"/>
  <c r="G66" i="1" s="1"/>
  <c r="I66" i="1" s="1"/>
  <c r="J66" i="1" s="1"/>
  <c r="W83" i="1"/>
  <c r="V83" i="1"/>
  <c r="M83" i="1"/>
  <c r="D83" i="1"/>
  <c r="E83" i="1" s="1"/>
  <c r="W26" i="1"/>
  <c r="V26" i="1"/>
  <c r="L26" i="1"/>
  <c r="K26" i="1"/>
  <c r="E26" i="1"/>
  <c r="G26" i="1" s="1"/>
  <c r="I26" i="1" s="1"/>
  <c r="V38" i="1"/>
  <c r="M38" i="1"/>
  <c r="E38" i="1"/>
  <c r="G38" i="1" s="1"/>
  <c r="I38" i="1" s="1"/>
  <c r="J38" i="1" s="1"/>
  <c r="V19" i="1"/>
  <c r="M19" i="1"/>
  <c r="E19" i="1"/>
  <c r="G19" i="1" s="1"/>
  <c r="I19" i="1" s="1"/>
  <c r="J19" i="1" s="1"/>
  <c r="W82" i="1"/>
  <c r="V82" i="1"/>
  <c r="M82" i="1"/>
  <c r="E82" i="1"/>
  <c r="G82" i="1" s="1"/>
  <c r="I82" i="1" s="1"/>
  <c r="J82" i="1" s="1"/>
  <c r="W84" i="1"/>
  <c r="V84" i="1"/>
  <c r="M84" i="1"/>
  <c r="E84" i="1"/>
  <c r="G84" i="1" s="1"/>
  <c r="I84" i="1" s="1"/>
  <c r="J84" i="1" s="1"/>
  <c r="W37" i="1"/>
  <c r="V37" i="1"/>
  <c r="M37" i="1"/>
  <c r="E37" i="1"/>
  <c r="G37" i="1" s="1"/>
  <c r="I37" i="1" s="1"/>
  <c r="J37" i="1" s="1"/>
  <c r="W36" i="1"/>
  <c r="V36" i="1"/>
  <c r="M36" i="1"/>
  <c r="H36" i="1"/>
  <c r="E36" i="1"/>
  <c r="G36" i="1" s="1"/>
  <c r="W12" i="1"/>
  <c r="V12" i="1"/>
  <c r="M12" i="1"/>
  <c r="E12" i="1"/>
  <c r="G12" i="1" s="1"/>
  <c r="I12" i="1" s="1"/>
  <c r="J12" i="1" s="1"/>
  <c r="W65" i="1"/>
  <c r="V65" i="1"/>
  <c r="L65" i="1"/>
  <c r="M65" i="1" s="1"/>
  <c r="E65" i="1"/>
  <c r="G65" i="1" s="1"/>
  <c r="I65" i="1" s="1"/>
  <c r="J65" i="1" s="1"/>
  <c r="W25" i="1"/>
  <c r="V25" i="1"/>
  <c r="L25" i="1"/>
  <c r="X25" i="1" s="1"/>
  <c r="H25" i="1"/>
  <c r="E25" i="1"/>
  <c r="G25" i="1" s="1"/>
  <c r="W35" i="1"/>
  <c r="V35" i="1"/>
  <c r="M35" i="1"/>
  <c r="E35" i="1"/>
  <c r="G35" i="1" s="1"/>
  <c r="I35" i="1" s="1"/>
  <c r="J35" i="1" s="1"/>
  <c r="W18" i="1"/>
  <c r="V18" i="1"/>
  <c r="M18" i="1"/>
  <c r="D18" i="1"/>
  <c r="W34" i="1"/>
  <c r="V34" i="1"/>
  <c r="M34" i="1"/>
  <c r="E34" i="1"/>
  <c r="G34" i="1" s="1"/>
  <c r="I34" i="1" s="1"/>
  <c r="J34" i="1" s="1"/>
  <c r="W64" i="1"/>
  <c r="V64" i="1"/>
  <c r="L64" i="1"/>
  <c r="M64" i="1" s="1"/>
  <c r="E64" i="1"/>
  <c r="G64" i="1" s="1"/>
  <c r="I64" i="1" s="1"/>
  <c r="J64" i="1" s="1"/>
  <c r="W63" i="1"/>
  <c r="V63" i="1"/>
  <c r="L63" i="1"/>
  <c r="M63" i="1" s="1"/>
  <c r="E63" i="1"/>
  <c r="G63" i="1" s="1"/>
  <c r="I63" i="1" s="1"/>
  <c r="J63" i="1" s="1"/>
  <c r="W33" i="1"/>
  <c r="V33" i="1"/>
  <c r="K33" i="1"/>
  <c r="X33" i="1" s="1"/>
  <c r="H33" i="1"/>
  <c r="F33" i="1"/>
  <c r="D33" i="1"/>
  <c r="E33" i="1" s="1"/>
  <c r="W17" i="1"/>
  <c r="V17" i="1"/>
  <c r="M17" i="1"/>
  <c r="E17" i="1"/>
  <c r="G17" i="1" s="1"/>
  <c r="I17" i="1" s="1"/>
  <c r="J17" i="1" s="1"/>
  <c r="W11" i="1"/>
  <c r="V11" i="1"/>
  <c r="M11" i="1"/>
  <c r="E11" i="1"/>
  <c r="G11" i="1" s="1"/>
  <c r="I11" i="1" s="1"/>
  <c r="J11" i="1" s="1"/>
  <c r="W62" i="1"/>
  <c r="V62" i="1"/>
  <c r="M62" i="1"/>
  <c r="E62" i="1"/>
  <c r="G62" i="1" s="1"/>
  <c r="I62" i="1" s="1"/>
  <c r="J62" i="1" s="1"/>
  <c r="W16" i="1"/>
  <c r="V16" i="1"/>
  <c r="M16" i="1"/>
  <c r="E16" i="1"/>
  <c r="G16" i="1" s="1"/>
  <c r="I16" i="1" s="1"/>
  <c r="J16" i="1" s="1"/>
  <c r="W10" i="1"/>
  <c r="V10" i="1"/>
  <c r="M10" i="1"/>
  <c r="E10" i="1"/>
  <c r="G10" i="1" s="1"/>
  <c r="I10" i="1" s="1"/>
  <c r="J10" i="1" s="1"/>
  <c r="W32" i="1"/>
  <c r="V32" i="1"/>
  <c r="M32" i="1"/>
  <c r="E32" i="1"/>
  <c r="G32" i="1" s="1"/>
  <c r="I32" i="1" s="1"/>
  <c r="J32" i="1" s="1"/>
  <c r="W91" i="1"/>
  <c r="V91" i="1"/>
  <c r="M91" i="1"/>
  <c r="E91" i="1"/>
  <c r="G91" i="1" s="1"/>
  <c r="I91" i="1" s="1"/>
  <c r="J91" i="1" s="1"/>
  <c r="W31" i="1"/>
  <c r="V31" i="1"/>
  <c r="M31" i="1"/>
  <c r="D31" i="1"/>
  <c r="E31" i="1" s="1"/>
  <c r="G31" i="1" s="1"/>
  <c r="I31" i="1" s="1"/>
  <c r="J31" i="1" s="1"/>
  <c r="W30" i="1"/>
  <c r="V30" i="1"/>
  <c r="M30" i="1"/>
  <c r="E30" i="1"/>
  <c r="G30" i="1" s="1"/>
  <c r="I30" i="1" s="1"/>
  <c r="J30" i="1" s="1"/>
  <c r="W29" i="1"/>
  <c r="V29" i="1"/>
  <c r="E29" i="1"/>
  <c r="G29" i="1" s="1"/>
  <c r="I25" i="1" l="1"/>
  <c r="J25" i="1" s="1"/>
  <c r="M25" i="1"/>
  <c r="I233" i="2"/>
  <c r="F6" i="3"/>
  <c r="M6" i="2"/>
  <c r="M92" i="2"/>
  <c r="M96" i="2"/>
  <c r="M100" i="2"/>
  <c r="M207" i="2"/>
  <c r="M211" i="2"/>
  <c r="M215" i="2"/>
  <c r="M191" i="2"/>
  <c r="M31" i="2"/>
  <c r="M76" i="2"/>
  <c r="M199" i="2"/>
  <c r="M21" i="2"/>
  <c r="M47" i="2"/>
  <c r="M84" i="2"/>
  <c r="M80" i="2"/>
  <c r="M195" i="2"/>
  <c r="M108" i="2"/>
  <c r="M112" i="2"/>
  <c r="M116" i="2"/>
  <c r="X27" i="1"/>
  <c r="G33" i="1"/>
  <c r="I33" i="1" s="1"/>
  <c r="J33" i="1" s="1"/>
  <c r="I85" i="1"/>
  <c r="J85" i="1" s="1"/>
  <c r="G14" i="1"/>
  <c r="I14" i="1" s="1"/>
  <c r="J14" i="1" s="1"/>
  <c r="X26" i="1"/>
  <c r="M73" i="1"/>
  <c r="M74" i="1"/>
  <c r="I36" i="1"/>
  <c r="J36" i="1" s="1"/>
  <c r="G73" i="1"/>
  <c r="I73" i="1" s="1"/>
  <c r="J73" i="1" s="1"/>
  <c r="X65" i="1"/>
  <c r="G83" i="1"/>
  <c r="I83" i="1" s="1"/>
  <c r="J83" i="1" s="1"/>
  <c r="G20" i="1"/>
  <c r="I20" i="1" s="1"/>
  <c r="J20" i="1" s="1"/>
  <c r="X64" i="1"/>
  <c r="X85" i="1"/>
  <c r="X63" i="1"/>
  <c r="X9" i="1"/>
  <c r="X22" i="1"/>
  <c r="X88" i="1"/>
  <c r="M33" i="1"/>
  <c r="E22" i="1"/>
  <c r="G22" i="1" s="1"/>
  <c r="I22" i="1" s="1"/>
  <c r="J22" i="1" s="1"/>
  <c r="X20" i="1"/>
  <c r="K11" i="2"/>
  <c r="M11" i="2" s="1"/>
  <c r="K23" i="2"/>
  <c r="M23" i="2" s="1"/>
  <c r="K29" i="2"/>
  <c r="M29" i="2" s="1"/>
  <c r="K58" i="2"/>
  <c r="M58" i="2" s="1"/>
  <c r="J26" i="1"/>
  <c r="K7" i="2"/>
  <c r="M7" i="2" s="1"/>
  <c r="K12" i="2"/>
  <c r="M12" i="2" s="1"/>
  <c r="K34" i="2"/>
  <c r="M34" i="2" s="1"/>
  <c r="K69" i="2"/>
  <c r="M69" i="2" s="1"/>
  <c r="K3" i="2"/>
  <c r="M3" i="2" s="1"/>
  <c r="K50" i="2"/>
  <c r="M50" i="2" s="1"/>
  <c r="K45" i="2"/>
  <c r="M45" i="2" s="1"/>
  <c r="I29" i="1"/>
  <c r="E9" i="1"/>
  <c r="G9" i="1" s="1"/>
  <c r="I9" i="1" s="1"/>
  <c r="J9" i="1" s="1"/>
  <c r="K26" i="2"/>
  <c r="M26" i="2" s="1"/>
  <c r="K61" i="2"/>
  <c r="M61" i="2" s="1"/>
  <c r="H6" i="4"/>
  <c r="K5" i="2"/>
  <c r="M5" i="2" s="1"/>
  <c r="K37" i="2"/>
  <c r="M37" i="2" s="1"/>
  <c r="K66" i="2"/>
  <c r="M66" i="2" s="1"/>
  <c r="K42" i="2"/>
  <c r="M42" i="2" s="1"/>
  <c r="M26" i="1"/>
  <c r="K53" i="2"/>
  <c r="M53" i="2" s="1"/>
  <c r="M74" i="2"/>
  <c r="M81" i="2"/>
  <c r="K87" i="2"/>
  <c r="M87" i="2" s="1"/>
  <c r="M90" i="2"/>
  <c r="M97" i="2"/>
  <c r="K103" i="2"/>
  <c r="M103" i="2" s="1"/>
  <c r="M106" i="2"/>
  <c r="M113" i="2"/>
  <c r="K181" i="2"/>
  <c r="M181" i="2" s="1"/>
  <c r="M186" i="2"/>
  <c r="M189" i="2"/>
  <c r="K192" i="2"/>
  <c r="M192" i="2" s="1"/>
  <c r="M202" i="2"/>
  <c r="M205" i="2"/>
  <c r="K208" i="2"/>
  <c r="M208" i="2" s="1"/>
  <c r="M218" i="2"/>
  <c r="M221" i="2"/>
  <c r="K224" i="2"/>
  <c r="M224" i="2" s="1"/>
  <c r="E88" i="1"/>
  <c r="G88" i="1" s="1"/>
  <c r="I88" i="1" s="1"/>
  <c r="K8" i="2"/>
  <c r="M8" i="2" s="1"/>
  <c r="M15" i="2"/>
  <c r="M24" i="2"/>
  <c r="K27" i="2"/>
  <c r="M27" i="2" s="1"/>
  <c r="M32" i="2"/>
  <c r="K35" i="2"/>
  <c r="M35" i="2" s="1"/>
  <c r="M40" i="2"/>
  <c r="K43" i="2"/>
  <c r="M43" i="2" s="1"/>
  <c r="M48" i="2"/>
  <c r="K51" i="2"/>
  <c r="M51" i="2" s="1"/>
  <c r="M56" i="2"/>
  <c r="K59" i="2"/>
  <c r="M59" i="2" s="1"/>
  <c r="M64" i="2"/>
  <c r="K67" i="2"/>
  <c r="M67" i="2" s="1"/>
  <c r="M72" i="2"/>
  <c r="K75" i="2"/>
  <c r="M75" i="2" s="1"/>
  <c r="M78" i="2"/>
  <c r="M94" i="2"/>
  <c r="M110" i="2"/>
  <c r="M193" i="2"/>
  <c r="M209" i="2"/>
  <c r="M222" i="2"/>
  <c r="M17" i="2"/>
  <c r="M196" i="2"/>
  <c r="M212" i="2"/>
  <c r="E18" i="1"/>
  <c r="N7" i="4"/>
  <c r="M7" i="4"/>
  <c r="E7" i="4"/>
  <c r="L7" i="4"/>
  <c r="K7" i="4"/>
  <c r="J7" i="4"/>
  <c r="I7" i="4"/>
  <c r="M79" i="2"/>
  <c r="K85" i="2"/>
  <c r="M85" i="2" s="1"/>
  <c r="M88" i="2"/>
  <c r="K101" i="2"/>
  <c r="M101" i="2" s="1"/>
  <c r="M104" i="2"/>
  <c r="K117" i="2"/>
  <c r="M117" i="2" s="1"/>
  <c r="M182" i="2"/>
  <c r="M187" i="2"/>
  <c r="K190" i="2"/>
  <c r="M190" i="2" s="1"/>
  <c r="M203" i="2"/>
  <c r="K206" i="2"/>
  <c r="M206" i="2" s="1"/>
  <c r="M219" i="2"/>
  <c r="M107" i="2"/>
  <c r="J233" i="2"/>
  <c r="M13" i="2"/>
  <c r="M18" i="2"/>
  <c r="M30" i="2"/>
  <c r="M38" i="2"/>
  <c r="M46" i="2"/>
  <c r="M54" i="2"/>
  <c r="M62" i="2"/>
  <c r="M70" i="2"/>
  <c r="K79" i="2"/>
  <c r="M82" i="2"/>
  <c r="M89" i="2"/>
  <c r="K95" i="2"/>
  <c r="M95" i="2" s="1"/>
  <c r="M98" i="2"/>
  <c r="M105" i="2"/>
  <c r="K111" i="2"/>
  <c r="M111" i="2" s="1"/>
  <c r="M114" i="2"/>
  <c r="M184" i="2"/>
  <c r="M194" i="2"/>
  <c r="M197" i="2"/>
  <c r="K200" i="2"/>
  <c r="M200" i="2" s="1"/>
  <c r="M210" i="2"/>
  <c r="M213" i="2"/>
  <c r="K216" i="2"/>
  <c r="M216" i="2" s="1"/>
  <c r="J8" i="4"/>
  <c r="I8" i="4"/>
  <c r="H8" i="4"/>
  <c r="G8" i="4"/>
  <c r="N8" i="4"/>
  <c r="F8" i="4"/>
  <c r="M8" i="4"/>
  <c r="E8" i="4"/>
  <c r="L8" i="4"/>
  <c r="D8" i="4"/>
  <c r="K8" i="4"/>
  <c r="C8" i="4"/>
  <c r="M223" i="2"/>
  <c r="J6" i="4"/>
  <c r="G6" i="4"/>
  <c r="N6" i="4"/>
  <c r="M6" i="4"/>
  <c r="E6" i="4"/>
  <c r="L6" i="4"/>
  <c r="D6" i="4"/>
  <c r="K6" i="4"/>
  <c r="C6" i="4"/>
  <c r="M91" i="2"/>
  <c r="M2" i="2"/>
  <c r="K16" i="2"/>
  <c r="K22" i="2"/>
  <c r="M22" i="2" s="1"/>
  <c r="M28" i="2"/>
  <c r="M36" i="2"/>
  <c r="M44" i="2"/>
  <c r="M52" i="2"/>
  <c r="M60" i="2"/>
  <c r="M68" i="2"/>
  <c r="M77" i="2"/>
  <c r="K83" i="2"/>
  <c r="M83" i="2" s="1"/>
  <c r="M86" i="2"/>
  <c r="M93" i="2"/>
  <c r="K99" i="2"/>
  <c r="M99" i="2" s="1"/>
  <c r="M102" i="2"/>
  <c r="M109" i="2"/>
  <c r="K115" i="2"/>
  <c r="M115" i="2" s="1"/>
  <c r="M180" i="2"/>
  <c r="K188" i="2"/>
  <c r="M188" i="2" s="1"/>
  <c r="M198" i="2"/>
  <c r="M201" i="2"/>
  <c r="K204" i="2"/>
  <c r="M204" i="2" s="1"/>
  <c r="M214" i="2"/>
  <c r="M217" i="2"/>
  <c r="K220" i="2"/>
  <c r="M220" i="2" s="1"/>
  <c r="I6" i="4"/>
  <c r="K233" i="2" l="1"/>
  <c r="G7" i="4"/>
  <c r="G9" i="4" s="1"/>
  <c r="F7" i="4"/>
  <c r="H7" i="4"/>
  <c r="H9" i="4" s="1"/>
  <c r="G18" i="1"/>
  <c r="I18" i="1" s="1"/>
  <c r="J18" i="1" s="1"/>
  <c r="N9" i="4"/>
  <c r="J9" i="4"/>
  <c r="K9" i="4"/>
  <c r="L9" i="4"/>
  <c r="J88" i="1"/>
  <c r="F6" i="4"/>
  <c r="I9" i="4"/>
  <c r="M9" i="4"/>
  <c r="C7" i="4"/>
  <c r="C9" i="4" s="1"/>
  <c r="J29" i="1"/>
  <c r="M16" i="2"/>
  <c r="D7" i="4" s="1"/>
  <c r="D9" i="4" s="1"/>
  <c r="E9" i="4"/>
  <c r="F9" i="4" l="1"/>
  <c r="M2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47E5D-1CE5-4A58-9A76-99C283E428CE}" keepAlive="1" name="Query - APIKey" description="Connection to the 'APIKey' query in the workbook." type="5" refreshedVersion="0" background="1">
    <dbPr connection="Provider=Microsoft.Mashup.OleDb.1;Data Source=$Workbook$;Location=APIKey;Extended Properties=&quot;&quot;" command="SELECT * FROM [APIKey]"/>
  </connection>
  <connection id="2" xr16:uid="{5E06E86A-0677-4CEA-AAA8-343B3E0A654A}" keepAlive="1" name="Query - DatabaseID" description="Connection to the 'DatabaseID' query in the workbook." type="5" refreshedVersion="0" background="1">
    <dbPr connection="Provider=Microsoft.Mashup.OleDb.1;Data Source=$Workbook$;Location=DatabaseID;Extended Properties=&quot;&quot;" command="SELECT * FROM [DatabaseID]"/>
  </connection>
  <connection id="3" xr16:uid="{16720DAC-8F30-484C-AF68-0D1026047C66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<sst xmlns="http://schemas.openxmlformats.org/spreadsheetml/2006/main" count="1330" uniqueCount="440">
  <si>
    <t>Client Name</t>
  </si>
  <si>
    <t>Cover Type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</si>
  <si>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</si>
  <si>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</si>
  <si>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</si>
  <si>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</si>
  <si>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</si>
  <si>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</si>
  <si>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</si>
  <si>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</si>
  <si>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</si>
  <si>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</si>
  <si>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</si>
  <si>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</si>
  <si>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Month</t>
  </si>
  <si>
    <t>Channel</t>
  </si>
  <si>
    <t>Intermediary name</t>
  </si>
  <si>
    <t>First issued quote date</t>
  </si>
  <si>
    <t>Aging</t>
  </si>
  <si>
    <t>PLASTIC SURGERY AND BEAUTY CLINICS</t>
  </si>
  <si>
    <t>New insured</t>
  </si>
  <si>
    <t>31/12/2024</t>
  </si>
  <si>
    <t>Direct</t>
  </si>
  <si>
    <t>PROSPER NSENGIYUMVA</t>
  </si>
  <si>
    <t>AURA ENTERPRISES LTD</t>
  </si>
  <si>
    <t>AXIOM NETWORKS LTD</t>
  </si>
  <si>
    <t>Broker</t>
  </si>
  <si>
    <t>Zamara</t>
  </si>
  <si>
    <t>JOSUE IBULUNGU</t>
  </si>
  <si>
    <t>UMUGISHA KWIZERA LILIOSE</t>
  </si>
  <si>
    <t>Bishosi</t>
  </si>
  <si>
    <t xml:space="preserve">PRIME BIODIVERSITY CONSERVATION </t>
  </si>
  <si>
    <t>Carmen</t>
  </si>
  <si>
    <t>UWABEZA FAUSTA</t>
  </si>
  <si>
    <t>Frank</t>
  </si>
  <si>
    <t>ESPARTNERS</t>
  </si>
  <si>
    <t>UNLOCK IMPACT Ltd</t>
  </si>
  <si>
    <t>KIVU CHOICE Limited- FUND MANAGEMENT</t>
  </si>
  <si>
    <t>Fund</t>
  </si>
  <si>
    <t>CHANCEN INTERNATIONAL RWANDA</t>
  </si>
  <si>
    <t>Renew/Insured</t>
  </si>
  <si>
    <t>MIGHTY ENGINEERING LLC</t>
  </si>
  <si>
    <t>OPENFIELD RWANDA Limited</t>
  </si>
  <si>
    <t>CHALLENGES CONSULTING RWANDA Limited</t>
  </si>
  <si>
    <t>HIRWA MICHAEL DYLAN</t>
  </si>
  <si>
    <t>WIREDIN LTD</t>
  </si>
  <si>
    <t>Carmen&amp;Frank</t>
  </si>
  <si>
    <t>NEVER AGAIN RWANDA</t>
  </si>
  <si>
    <t>NORWEGIAN PEOPLE'S AID</t>
  </si>
  <si>
    <t xml:space="preserve">MUA </t>
  </si>
  <si>
    <t>MBAKUYE GESY BECKET</t>
  </si>
  <si>
    <t>IST- AFRICA Limited</t>
  </si>
  <si>
    <t>Agent</t>
  </si>
  <si>
    <t>Ntwali Innocent</t>
  </si>
  <si>
    <t>Mika</t>
  </si>
  <si>
    <t>KABISA GO ELECTRIC</t>
  </si>
  <si>
    <t>CNR TRANSPORT LTD</t>
  </si>
  <si>
    <t>Deriv (RW) Ltd</t>
  </si>
  <si>
    <t>Carmen+Frank</t>
  </si>
  <si>
    <t>ISHIMWE SHANICE</t>
  </si>
  <si>
    <t>UMUHOZA IKIREZI ANGE DIVINE</t>
  </si>
  <si>
    <t>iHELP Ltd</t>
  </si>
  <si>
    <t>KIGALI CONVENTION CENTER LTD</t>
  </si>
  <si>
    <t>Global Risk</t>
  </si>
  <si>
    <t>EDUCATE</t>
  </si>
  <si>
    <t>Safe Insurance broker</t>
  </si>
  <si>
    <t>TESTSOLUTIONS RWANDA LTD</t>
  </si>
  <si>
    <t>2025-04-31</t>
  </si>
  <si>
    <t>Innocent Ntwali</t>
  </si>
  <si>
    <t>AFRICA MOBILITY SOLUTIONS RWANDA LTD</t>
  </si>
  <si>
    <t xml:space="preserve">CZ RWANDA LTD </t>
  </si>
  <si>
    <t>Renew/Fund</t>
  </si>
  <si>
    <t>GAGA AUTO SPARE PARTS LTD</t>
  </si>
  <si>
    <t>Anita</t>
  </si>
  <si>
    <t>TLC SPACE</t>
  </si>
  <si>
    <t>Pauline</t>
  </si>
  <si>
    <t>MUNYANGEYO MUCINYA LANDRY</t>
  </si>
  <si>
    <t>JIBU CORPORATE RWANDA LTD</t>
  </si>
  <si>
    <t>Bilive it co Ltd</t>
  </si>
  <si>
    <t>MUNYEMANA SULTAN ERIC</t>
  </si>
  <si>
    <t>TINOTENDA KAHONDE</t>
  </si>
  <si>
    <t>SOLID’ AFRICA</t>
  </si>
  <si>
    <t>HENCE TECHNOLOGIES RWANDA LTD</t>
  </si>
  <si>
    <t>LOLC UNGUKA FINANCE</t>
  </si>
  <si>
    <t>Connect</t>
  </si>
  <si>
    <t>Norsken Pool P(Ndegeya Cyrile)</t>
  </si>
  <si>
    <t>Doreen</t>
  </si>
  <si>
    <t>ROMALO LTD</t>
  </si>
  <si>
    <t>Cuzo</t>
  </si>
  <si>
    <t>HIGA CAPITAL Ltd</t>
  </si>
  <si>
    <t>Norsken Pool P YOUSEF MOHAMMAD ALBARARI</t>
  </si>
  <si>
    <t>Norsken Pool R  CLARISSE INGABIRE</t>
  </si>
  <si>
    <t>Norsken Pool S  EL BAHJA HAMID</t>
  </si>
  <si>
    <t>NORSKEN POOL T (MANIRAGUHA JACQUELINE)</t>
  </si>
  <si>
    <t>NORSKEN POOL U (MUKABARANGA SYLVIE</t>
  </si>
  <si>
    <t>NORSKEN POOL U (MURENZI ALFRED)</t>
  </si>
  <si>
    <t>NORSKEN POOL U (Chijioke Favour Ihemedu)</t>
  </si>
  <si>
    <t>TRES INFRASTRUCTURE LTD</t>
  </si>
  <si>
    <t xml:space="preserve">GREEN TOURS TRAVEL LTD </t>
  </si>
  <si>
    <t>Innovative VAS</t>
  </si>
  <si>
    <t>-</t>
  </si>
  <si>
    <t>Norsken pool V (NDOLI AIME PATRICK)</t>
  </si>
  <si>
    <t>Sandrina</t>
  </si>
  <si>
    <t>PANGEA GROUP LTD</t>
  </si>
  <si>
    <t>SHREE COM LTD</t>
  </si>
  <si>
    <t>NORSKEN POOL Y(UWIMANA UMMY)</t>
  </si>
  <si>
    <t>RWANDA TRADING COMPANY</t>
  </si>
  <si>
    <t>Alliance insurance Broker</t>
  </si>
  <si>
    <t>NORSKEN POOL X( MANIRAGABA JEAN PAUL)</t>
  </si>
  <si>
    <t>MAYFAIR INSURANCE RWANDA LTD</t>
  </si>
  <si>
    <t>AOS LTD</t>
  </si>
  <si>
    <t>MANIRAKIZA ERICK</t>
  </si>
  <si>
    <t>MUTESI SARAH</t>
  </si>
  <si>
    <t>UWERA KELLY WALDA</t>
  </si>
  <si>
    <t>BIO BOGORE GNON DEOLINDA</t>
  </si>
  <si>
    <t>TANYA BHANDARI</t>
  </si>
  <si>
    <t>HABUMUGISHA JEAN</t>
  </si>
  <si>
    <t>Ascoma</t>
  </si>
  <si>
    <t>UWERA JACQUELINE</t>
  </si>
  <si>
    <t>NSABIMANA CHRISTIAN</t>
  </si>
  <si>
    <t>YLABS STUDIO LTD</t>
  </si>
  <si>
    <t>THREE STONES INTERNATIONAL RWANDA</t>
  </si>
  <si>
    <t>FONDATION PAUL GERIN-LAJOIE</t>
  </si>
  <si>
    <t>RWANDA BANKERS ASSOCIATION</t>
  </si>
  <si>
    <t>VUBA VUBA AFRICA LTD</t>
  </si>
  <si>
    <t>CCI RWANDA</t>
  </si>
  <si>
    <t>MVEND LIMITED</t>
  </si>
  <si>
    <t>GAHIZI CHISTELLE</t>
  </si>
  <si>
    <t>JESSICA GASASIRA</t>
  </si>
  <si>
    <t>ICDL</t>
  </si>
  <si>
    <t>Olea</t>
  </si>
  <si>
    <t>ITO EAST AFRICA LTD</t>
  </si>
  <si>
    <t>Honoline</t>
  </si>
  <si>
    <t>KIGALI DERMATOLOGY CENTER LTD</t>
  </si>
  <si>
    <t>REM LIMITED</t>
  </si>
  <si>
    <t>Scheme Name</t>
  </si>
  <si>
    <t>NAMES</t>
  </si>
  <si>
    <t>DAYS</t>
  </si>
  <si>
    <t>Annual Premium</t>
  </si>
  <si>
    <t>Prorated Premium</t>
  </si>
  <si>
    <t>CBHI</t>
  </si>
  <si>
    <t>Admin</t>
  </si>
  <si>
    <t>KFW</t>
  </si>
  <si>
    <t>Ndayiziga Francois (M+3)</t>
  </si>
  <si>
    <t>CZ RWANDA LTD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</si>
  <si>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</si>
  <si>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</si>
  <si>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</si>
  <si>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</si>
  <si>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</si>
  <si>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</si>
  <si>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</si>
  <si>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</si>
  <si>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</si>
  <si>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</si>
  <si>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</si>
  <si>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</si>
  <si>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</si>
  <si>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</si>
  <si>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</si>
  <si>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</si>
  <si>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</si>
  <si>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</si>
  <si>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</si>
  <si>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</si>
  <si>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</si>
  <si>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</si>
  <si>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</si>
  <si>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</si>
  <si>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TEK EXPERTS RWANDA LTD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</si>
  <si>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</si>
  <si>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</si>
  <si>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</si>
  <si>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</si>
  <si>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</si>
  <si>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</si>
  <si>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</si>
  <si>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</si>
  <si>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</si>
  <si>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</si>
  <si>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</si>
  <si>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</si>
  <si>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</si>
  <si>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</si>
  <si>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</si>
  <si>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</si>
  <si>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</si>
  <si>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</si>
  <si>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</si>
  <si>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</si>
  <si>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</si>
  <si>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</si>
  <si>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</si>
  <si>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</si>
  <si>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</si>
  <si>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</si>
  <si>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</si>
  <si>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</si>
  <si>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</si>
  <si>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</si>
  <si>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</si>
  <si>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</si>
  <si>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</si>
  <si>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</si>
  <si>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</si>
  <si>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</si>
  <si>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</si>
  <si>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</si>
  <si>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</si>
  <si>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</si>
  <si>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</si>
  <si>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</si>
  <si>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</si>
  <si>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</si>
  <si>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</si>
  <si>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</si>
  <si>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</si>
  <si>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</si>
  <si>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</si>
  <si>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</si>
  <si>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</si>
  <si>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</si>
  <si>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BALLISTIC BURGERS LTD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</si>
  <si>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</si>
  <si>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</si>
  <si>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</si>
  <si>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</si>
  <si>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</si>
  <si>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</si>
  <si>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</si>
  <si>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</si>
  <si>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</si>
  <si>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</si>
  <si>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</si>
  <si>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</si>
  <si>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</si>
  <si>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</si>
  <si>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</si>
  <si>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</si>
  <si>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</si>
  <si>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</si>
  <si>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</si>
  <si>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</si>
  <si>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</si>
  <si>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</si>
  <si>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</si>
  <si>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</si>
  <si>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</si>
  <si>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</si>
  <si>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</si>
  <si>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</si>
  <si>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</si>
  <si>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</si>
  <si>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</si>
  <si>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</si>
  <si>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</si>
  <si>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</si>
  <si>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</si>
  <si>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KIVU CHOICE LIMITED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</si>
  <si>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</si>
  <si>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</si>
  <si>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</si>
  <si>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</si>
  <si>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</si>
  <si>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</si>
  <si>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</si>
  <si>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</si>
  <si>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</si>
  <si>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</si>
  <si>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23/05/2024</t>
  </si>
  <si>
    <t>Fiona Twembi</t>
  </si>
  <si>
    <t>Chella Umuhoza</t>
  </si>
  <si>
    <t>Joselyne Ingabire</t>
  </si>
  <si>
    <t>Tasha Teta</t>
  </si>
  <si>
    <t>28/05/2024</t>
  </si>
  <si>
    <t>Smayah Munezero</t>
  </si>
  <si>
    <t>29/05/2024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</si>
  <si>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</si>
  <si>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</si>
  <si>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</si>
  <si>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</si>
  <si>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</si>
  <si>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</si>
  <si>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</si>
  <si>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</si>
  <si>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</si>
  <si>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</si>
  <si>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</si>
  <si>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</si>
  <si>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</si>
  <si>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</si>
  <si>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19/06/2024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</si>
  <si>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</si>
  <si>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</si>
  <si>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</si>
  <si>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</si>
  <si>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</si>
  <si>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</si>
  <si>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</si>
  <si>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</si>
  <si>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</si>
  <si>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</si>
  <si>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</si>
  <si>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</si>
  <si>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</si>
  <si>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</si>
  <si>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</si>
  <si>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20/06/2024</t>
  </si>
  <si>
    <t>Nadine Santha Isimbi</t>
  </si>
  <si>
    <t>24/06/2024</t>
  </si>
  <si>
    <t>Steven Kagame</t>
  </si>
  <si>
    <t>26/06/2024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</si>
  <si>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</si>
  <si>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</si>
  <si>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</si>
  <si>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</si>
  <si>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</si>
  <si>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</si>
  <si>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</si>
  <si>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</si>
  <si>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</si>
  <si>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</si>
  <si>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</si>
  <si>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27/06/2024</t>
  </si>
  <si>
    <t>Danny Manzi</t>
  </si>
  <si>
    <t>Fabrice Kayiranga</t>
  </si>
  <si>
    <t>28/06/2024</t>
  </si>
  <si>
    <t>Emmanuel Nkundiye</t>
  </si>
  <si>
    <t>28/06/2025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</si>
  <si>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</si>
  <si>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</si>
  <si>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</si>
  <si>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</si>
  <si>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</si>
  <si>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</si>
  <si>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</si>
  <si>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</si>
  <si>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</si>
  <si>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</si>
  <si>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</si>
  <si>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</si>
  <si>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</si>
  <si>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</si>
  <si>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</si>
  <si>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</si>
  <si>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</si>
  <si>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</si>
  <si>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</si>
  <si>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</si>
  <si>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</si>
  <si>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</si>
  <si>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</si>
  <si>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</si>
  <si>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</si>
  <si>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</si>
  <si>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</si>
  <si>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</si>
  <si>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</si>
  <si>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</si>
  <si>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</si>
  <si>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</si>
  <si>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</si>
  <si>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</si>
  <si>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</si>
  <si>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</si>
  <si>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</si>
  <si>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</si>
  <si>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</si>
  <si>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</si>
  <si>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</si>
  <si>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</si>
  <si>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</si>
  <si>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</si>
  <si>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</si>
  <si>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</si>
  <si>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</si>
  <si>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</si>
  <si>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</si>
  <si>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</si>
  <si>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</si>
  <si>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</si>
  <si>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</si>
  <si>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</si>
  <si>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</si>
  <si>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</si>
  <si>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</si>
  <si>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</si>
  <si>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</si>
  <si>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</si>
  <si>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</si>
  <si>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</si>
  <si>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</si>
  <si>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</si>
  <si>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</si>
  <si>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</si>
  <si>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</si>
  <si>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Grand Total</t>
  </si>
  <si>
    <t>Name</t>
  </si>
  <si>
    <t>Premium</t>
  </si>
  <si>
    <t>Ylabs Studio Ltd</t>
  </si>
  <si>
    <t>Believe it Co</t>
  </si>
  <si>
    <t>30/06/2024</t>
  </si>
  <si>
    <t>Bilie-ve co Ltd</t>
  </si>
  <si>
    <t>Norrsken Pool</t>
  </si>
  <si>
    <t>FADA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</si>
  <si>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</si>
  <si>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</si>
  <si>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</si>
  <si>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</si>
  <si>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</si>
  <si>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</si>
  <si>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</si>
  <si>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</si>
  <si>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</si>
  <si>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</si>
  <si>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</si>
  <si>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</si>
  <si>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</si>
  <si>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</si>
  <si>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</si>
  <si>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</si>
  <si>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Renewals</t>
  </si>
  <si>
    <t>Health</t>
  </si>
  <si>
    <t>Patrick &amp; Liliane</t>
  </si>
  <si>
    <t>Frank &amp; Honoline</t>
  </si>
  <si>
    <t>Michel &amp; Pauline</t>
  </si>
  <si>
    <t>Bishosi &amp; Doreen</t>
  </si>
  <si>
    <t>Mika &amp; Sandrina</t>
  </si>
  <si>
    <t>Carmen, Shadrack &amp; Angelos</t>
  </si>
  <si>
    <t>Owner</t>
  </si>
  <si>
    <t>Average Number of Dependents per Employee</t>
  </si>
  <si>
    <t>Start Month</t>
  </si>
  <si>
    <t>Start Year</t>
  </si>
  <si>
    <t>Query1</t>
  </si>
  <si>
    <t/>
  </si>
  <si>
    <t>Product</t>
  </si>
  <si>
    <t>Target</t>
  </si>
  <si>
    <t>African Leadership University Rwanda</t>
  </si>
  <si>
    <t>ProActiv</t>
  </si>
  <si>
    <t>RICEM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</si>
</sst>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yyyy\-mm\-dd"/>
    <numFmt numFmtId="166" formatCode="dd/mm/yyyy"/>
    <numFmt numFmtId="167" formatCode="\ #\ ###\ ###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</font>
    <font>
      <sz val="11"/>
      <color theme="1"/>
      <name val="Century Gothic"/>
    </font>
    <font>
      <sz val="11"/>
      <color theme="1"/>
      <name val="Calibri"/>
    </font>
    <font>
      <sz val="11"/>
      <color rgb="FF000000"/>
      <name val="&quot;Century Gothic&quot;"/>
    </font>
    <font>
      <sz val="11"/>
      <color theme="1"/>
      <name val="Calibri"/>
      <scheme val="minor"/>
    </font>
    <font>
      <sz val="11"/>
      <color rgb="FF000000"/>
      <name val="Century Gothic"/>
    </font>
    <font>
      <sz val="11"/>
      <color rgb="FFFF0000"/>
      <name val="Century Gothic"/>
    </font>
    <font>
      <sz val="11"/>
      <color rgb="FF000000"/>
      <name val="Calibri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sz val="9.6"/>
      <color rgb="FF202223"/>
      <name val="Segoe UI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alibri"/>
      <family val="2"/>
    </font>
    <font>
      <sz val="9.6"/>
      <color rgb="FF202223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5" fillId="0" borderId="2" xfId="0" applyFont="1" applyBorder="1"/>
    <xf numFmtId="164" fontId="5" fillId="0" borderId="3" xfId="0" applyNumberFormat="1" applyFont="1" applyBorder="1"/>
    <xf numFmtId="166" fontId="3" fillId="3" borderId="1" xfId="0" applyNumberFormat="1" applyFont="1" applyFill="1" applyBorder="1"/>
    <xf numFmtId="164" fontId="3" fillId="3" borderId="1" xfId="0" applyNumberFormat="1" applyFont="1" applyFill="1" applyBorder="1"/>
    <xf numFmtId="164" fontId="4" fillId="0" borderId="0" xfId="0" applyNumberFormat="1" applyFont="1"/>
    <xf numFmtId="3" fontId="4" fillId="0" borderId="0" xfId="0" applyNumberFormat="1" applyFont="1"/>
    <xf numFmtId="0" fontId="6" fillId="0" borderId="0" xfId="0" applyFont="1"/>
    <xf numFmtId="0" fontId="7" fillId="0" borderId="1" xfId="0" applyFont="1" applyBorder="1"/>
    <xf numFmtId="166" fontId="7" fillId="3" borderId="1" xfId="0" applyNumberFormat="1" applyFont="1" applyFill="1" applyBorder="1"/>
    <xf numFmtId="164" fontId="7" fillId="3" borderId="1" xfId="0" applyNumberFormat="1" applyFont="1" applyFill="1" applyBorder="1"/>
    <xf numFmtId="164" fontId="7" fillId="0" borderId="1" xfId="0" applyNumberFormat="1" applyFont="1" applyBorder="1"/>
    <xf numFmtId="165" fontId="3" fillId="3" borderId="1" xfId="0" applyNumberFormat="1" applyFont="1" applyFill="1" applyBorder="1"/>
    <xf numFmtId="166" fontId="3" fillId="3" borderId="1" xfId="0" applyNumberFormat="1" applyFont="1" applyFill="1" applyBorder="1" applyAlignment="1">
      <alignment horizontal="right"/>
    </xf>
    <xf numFmtId="166" fontId="5" fillId="4" borderId="3" xfId="0" applyNumberFormat="1" applyFont="1" applyFill="1" applyBorder="1" applyAlignment="1">
      <alignment horizontal="right"/>
    </xf>
    <xf numFmtId="164" fontId="5" fillId="4" borderId="2" xfId="0" applyNumberFormat="1" applyFont="1" applyFill="1" applyBorder="1"/>
    <xf numFmtId="164" fontId="5" fillId="0" borderId="1" xfId="0" applyNumberFormat="1" applyFont="1" applyBorder="1"/>
    <xf numFmtId="164" fontId="5" fillId="0" borderId="2" xfId="0" applyNumberFormat="1" applyFont="1" applyBorder="1"/>
    <xf numFmtId="166" fontId="5" fillId="4" borderId="2" xfId="0" applyNumberFormat="1" applyFont="1" applyFill="1" applyBorder="1" applyAlignment="1">
      <alignment horizontal="right"/>
    </xf>
    <xf numFmtId="164" fontId="8" fillId="0" borderId="1" xfId="0" applyNumberFormat="1" applyFont="1" applyBorder="1"/>
    <xf numFmtId="0" fontId="3" fillId="3" borderId="1" xfId="0" applyFont="1" applyFill="1" applyBorder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167" fontId="9" fillId="0" borderId="0" xfId="0" applyNumberFormat="1" applyFont="1" applyAlignment="1">
      <alignment horizontal="right"/>
    </xf>
    <xf numFmtId="167" fontId="9" fillId="0" borderId="4" xfId="0" applyNumberFormat="1" applyFont="1" applyBorder="1" applyAlignment="1">
      <alignment horizontal="right"/>
    </xf>
    <xf numFmtId="0" fontId="10" fillId="0" borderId="0" xfId="0" applyFont="1"/>
    <xf numFmtId="0" fontId="11" fillId="0" borderId="0" xfId="0" applyFont="1"/>
    <xf numFmtId="167" fontId="11" fillId="0" borderId="5" xfId="0" applyNumberFormat="1" applyFon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wrapText="1"/>
    </xf>
    <xf numFmtId="0" fontId="14" fillId="2" borderId="1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right"/>
    </xf>
    <xf numFmtId="14" fontId="3" fillId="3" borderId="1" xfId="0" applyNumberFormat="1" applyFont="1" applyFill="1" applyBorder="1"/>
    <xf numFmtId="14" fontId="7" fillId="3" borderId="1" xfId="0" applyNumberFormat="1" applyFont="1" applyFill="1" applyBorder="1"/>
    <xf numFmtId="14" fontId="3" fillId="3" borderId="1" xfId="0" applyNumberFormat="1" applyFont="1" applyFill="1" applyBorder="1" applyAlignment="1">
      <alignment horizontal="right"/>
    </xf>
    <xf numFmtId="14" fontId="5" fillId="4" borderId="2" xfId="0" applyNumberFormat="1" applyFont="1" applyFill="1" applyBorder="1" applyAlignment="1">
      <alignment horizontal="right"/>
    </xf>
    <xf numFmtId="0" fontId="16" fillId="5" borderId="6" xfId="0" applyFont="1" applyFill="1" applyBorder="1" applyAlignment="1">
      <alignment horizontal="center" wrapText="1"/>
    </xf>
    <xf numFmtId="0" fontId="12" fillId="5" borderId="6" xfId="0" applyFont="1" applyFill="1" applyBorder="1" applyAlignment="1">
      <alignment vertical="center" wrapText="1"/>
    </xf>
    <xf numFmtId="0" fontId="15" fillId="0" borderId="0" xfId="0" applyFont="1"/>
    <xf numFmtId="0" fontId="2" fillId="2" borderId="6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14" fontId="2" fillId="2" borderId="6" xfId="0" applyNumberFormat="1" applyFont="1" applyFill="1" applyBorder="1" applyAlignment="1">
      <alignment vertical="center"/>
    </xf>
    <xf numFmtId="165" fontId="2" fillId="2" borderId="6" xfId="0" applyNumberFormat="1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6" xfId="0" applyBorder="1"/>
    <xf numFmtId="0" fontId="3" fillId="0" borderId="6" xfId="0" applyFont="1" applyBorder="1"/>
    <xf numFmtId="164" fontId="3" fillId="0" borderId="6" xfId="0" applyNumberFormat="1" applyFont="1" applyBorder="1"/>
    <xf numFmtId="165" fontId="3" fillId="0" borderId="6" xfId="0" applyNumberFormat="1" applyFont="1" applyBorder="1"/>
    <xf numFmtId="14" fontId="3" fillId="0" borderId="6" xfId="0" applyNumberFormat="1" applyFont="1" applyBorder="1"/>
    <xf numFmtId="0" fontId="1" fillId="0" borderId="6" xfId="0" applyFont="1" applyBorder="1"/>
    <xf numFmtId="0" fontId="13" fillId="0" borderId="6" xfId="0" applyFont="1" applyBorder="1"/>
    <xf numFmtId="0" fontId="5" fillId="0" borderId="6" xfId="0" applyFont="1" applyBorder="1"/>
    <xf numFmtId="164" fontId="5" fillId="0" borderId="6" xfId="0" applyNumberFormat="1" applyFont="1" applyBorder="1"/>
    <xf numFmtId="0" fontId="5" fillId="0" borderId="6" xfId="0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4" fontId="5" fillId="0" borderId="6" xfId="0" applyNumberFormat="1" applyFont="1" applyBorder="1" applyAlignment="1">
      <alignment horizontal="right"/>
    </xf>
    <xf numFmtId="3" fontId="13" fillId="0" borderId="6" xfId="0" applyNumberFormat="1" applyFont="1" applyBorder="1" applyAlignment="1">
      <alignment horizontal="right"/>
    </xf>
    <xf numFmtId="0" fontId="13" fillId="0" borderId="6" xfId="0" applyFont="1" applyBorder="1" applyAlignment="1">
      <alignment horizontal="right"/>
    </xf>
    <xf numFmtId="14" fontId="13" fillId="0" borderId="6" xfId="0" applyNumberFormat="1" applyFont="1" applyBorder="1" applyAlignment="1">
      <alignment horizontal="right"/>
    </xf>
    <xf numFmtId="0" fontId="15" fillId="0" borderId="6" xfId="0" applyFont="1" applyBorder="1"/>
    <xf numFmtId="164" fontId="0" fillId="0" borderId="0" xfId="0" applyNumberFormat="1"/>
    <xf numFmtId="14" fontId="14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840BF09-CEF7-4C43-A372-B68D3D91D69C}" autoFormatId="16" applyNumberFormats="0" applyBorderFormats="0" applyFontFormats="0" applyPatternFormats="0" applyAlignmentFormats="0" applyWidthHeightFormats="0">
  <queryTableRefresh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6E19E0-2356-4B04-8691-A95D5BB4A453}" name="Query1" displayName="Query1" ref="A1:A2" tableType="queryTable" totalsRowShown="0">
  <autoFilter ref="A1:A2" xr:uid="{DA6E19E0-2356-4B04-8691-A95D5BB4A453}"/>
  <tableColumns count="1">
    <tableColumn id="1" xr3:uid="{19D66123-2CF3-43F5-AEC7-E4F689DDAA21}" uniqueName="1" name="Query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55"/>
  <sheetViews>
    <sheetView tabSelected="1" workbookViewId="0">
      <pane ySplit="2" topLeftCell="A61" activePane="bottomLeft" state="frozen"/>
      <selection pane="bottomLeft" activeCell="A82" sqref="A82"/>
    </sheetView>
  </sheetViews>
  <sheetFormatPr defaultColWidth="14.42578125" defaultRowHeight="15" customHeight="1"/>
  <cols>
    <col min="1" max="1" width="67" customWidth="1"/>
    <col min="2" max="2" width="18.5703125" customWidth="1"/>
    <col min="3" max="3" width="17.28515625" customWidth="1"/>
    <col min="4" max="4" width="18.28515625" customWidth="1"/>
    <col min="5" max="5" width="11.85546875" customWidth="1"/>
    <col min="6" max="6" width="12.7109375" customWidth="1"/>
    <col min="7" max="7" width="24.140625" customWidth="1"/>
    <col min="8" max="8" width="14.85546875" customWidth="1"/>
    <col min="9" max="9" width="17.5703125" customWidth="1"/>
    <col min="10" max="10" width="22.28515625" customWidth="1"/>
    <col min="11" max="11" width="12.5703125" customWidth="1"/>
    <col min="12" max="12" width="13.85546875" customWidth="1"/>
    <col min="13" max="13" width="11" customWidth="1"/>
    <col min="14" max="14" width="11.5703125" customWidth="1"/>
    <col min="15" max="15" width="12.140625" style="38" customWidth="1"/>
    <col min="16" max="17" width="13.42578125" customWidth="1"/>
    <col min="18" max="18" width="10" customWidth="1"/>
    <col min="19" max="20" width="26.85546875" customWidth="1"/>
    <col min="21" max="21" width="24.28515625" customWidth="1"/>
    <col min="22" max="22" width="16.28515625" customWidth="1"/>
    <col min="23" max="23" width="11.5703125" customWidth="1"/>
    <col min="24" max="24" width="26" customWidth="1"/>
    <col min="25" max="29" width="8.7109375" customWidth="1"/>
  </cols>
  <sheetData>
    <row r="1" spans="1:24" ht="15.75" customHeight="1">
      <c r="A1" s="49" t="s">
        <v>0</v>
      </c>
      <c r="B1" s="49" t="s">
        <v>1</v>
      </c>
      <c r="C1" s="53" t="s">
        <v>435</v>
      </c>
      <c r="D1" s="50" t="s">
        <v>2</v>
      </c>
      <c r="E1" s="50" t="s">
        <v>3</v>
      </c>
      <c r="F1" s="49" t="s">
        <v>4</v>
      </c>
      <c r="G1" s="51" t="s">
        <v>5</v>
      </c>
      <c r="H1" s="51" t="s">
        <v>6</v>
      </c>
      <c r="I1" s="50" t="s">
        <v>7</v>
      </c>
      <c r="J1" s="50" t="s">
        <v>8</v>
      </c>
      <c r="K1" s="49" t="s">
        <v>9</v>
      </c>
      <c r="L1" s="49" t="s">
        <v>10</v>
      </c>
      <c r="M1" s="49" t="s">
        <v>11</v>
      </c>
      <c r="N1" s="52" t="s">
        <v>12</v>
      </c>
      <c r="O1" s="51" t="s">
        <v>13</v>
      </c>
      <c r="P1" s="53" t="s">
        <v>431</v>
      </c>
      <c r="Q1" s="53" t="s">
        <v>432</v>
      </c>
      <c r="R1" s="49" t="s">
        <v>15</v>
      </c>
      <c r="S1" s="49" t="s">
        <v>16</v>
      </c>
      <c r="T1" s="53" t="s">
        <v>429</v>
      </c>
      <c r="U1" s="52" t="s">
        <v>17</v>
      </c>
      <c r="V1" s="49" t="s">
        <v>18</v>
      </c>
      <c r="W1" s="54"/>
      <c r="X1" s="49" t="s">
        <v>430</v>
      </c>
    </row>
    <row r="2" spans="1:24" ht="21" customHeight="1">
      <c r="A2" s="56" t="s">
        <v>106</v>
      </c>
      <c r="B2" s="62" t="s">
        <v>20</v>
      </c>
      <c r="C2" s="60" t="s">
        <v>422</v>
      </c>
      <c r="D2" s="57">
        <v>56151579</v>
      </c>
      <c r="E2" s="57">
        <f>D2*5%</f>
        <v>2807578.95</v>
      </c>
      <c r="F2" s="57">
        <v>965000</v>
      </c>
      <c r="G2" s="57">
        <f>SUM(D2:F2)</f>
        <v>59924157.950000003</v>
      </c>
      <c r="H2" s="57">
        <v>0</v>
      </c>
      <c r="I2" s="57">
        <f>SUM(G2:H2)</f>
        <v>59924157.950000003</v>
      </c>
      <c r="J2" s="57">
        <f>I2/K2</f>
        <v>1033175.1370689656</v>
      </c>
      <c r="K2" s="56">
        <v>58</v>
      </c>
      <c r="L2" s="57">
        <v>135</v>
      </c>
      <c r="M2" s="56">
        <v>193</v>
      </c>
      <c r="N2" s="65">
        <v>45484</v>
      </c>
      <c r="O2" s="66">
        <v>45848</v>
      </c>
      <c r="P2" s="56" t="str">
        <f>TEXT(N2, "mmmm")</f>
        <v>July</v>
      </c>
      <c r="Q2" s="56">
        <f>YEAR(N2)</f>
        <v>2024</v>
      </c>
      <c r="R2" s="56" t="s">
        <v>26</v>
      </c>
      <c r="S2" s="56" t="s">
        <v>107</v>
      </c>
      <c r="T2" s="56"/>
      <c r="U2" s="65">
        <v>45464</v>
      </c>
      <c r="V2" s="56">
        <f ca="1">TODAY()-N2</f>
        <v>95</v>
      </c>
      <c r="W2" s="56">
        <f>N2-U2</f>
        <v>20</v>
      </c>
      <c r="X2" s="55">
        <f>ROUND(L2/K2, 2)</f>
        <v>2.33</v>
      </c>
    </row>
    <row r="3" spans="1:24" ht="16.5">
      <c r="A3" s="56" t="s">
        <v>109</v>
      </c>
      <c r="B3" s="62" t="s">
        <v>20</v>
      </c>
      <c r="C3" s="60" t="s">
        <v>422</v>
      </c>
      <c r="D3" s="57">
        <v>25154667</v>
      </c>
      <c r="E3" s="57">
        <f>D3*5%</f>
        <v>1257733.3500000001</v>
      </c>
      <c r="F3" s="57">
        <v>430000</v>
      </c>
      <c r="G3" s="57">
        <f>SUM(D3:F3)</f>
        <v>26842400.350000001</v>
      </c>
      <c r="H3" s="57">
        <v>0</v>
      </c>
      <c r="I3" s="57">
        <f>SUM(G3:H3)</f>
        <v>26842400.350000001</v>
      </c>
      <c r="J3" s="57">
        <f>I3/K3</f>
        <v>925600.01206896559</v>
      </c>
      <c r="K3" s="56">
        <v>29</v>
      </c>
      <c r="L3" s="57">
        <v>57</v>
      </c>
      <c r="M3" s="56">
        <f>SUM(K3:L3)</f>
        <v>86</v>
      </c>
      <c r="N3" s="65">
        <v>45488</v>
      </c>
      <c r="O3" s="66">
        <v>45852</v>
      </c>
      <c r="P3" s="56" t="str">
        <f>TEXT(N3, "mmmm")</f>
        <v>July</v>
      </c>
      <c r="Q3" s="56">
        <f>YEAR(N3)</f>
        <v>2024</v>
      </c>
      <c r="R3" s="56" t="s">
        <v>26</v>
      </c>
      <c r="S3" s="56" t="s">
        <v>107</v>
      </c>
      <c r="T3" s="56"/>
      <c r="U3" s="65">
        <v>45469</v>
      </c>
      <c r="V3" s="56">
        <f ca="1">TODAY()-N3</f>
        <v>91</v>
      </c>
      <c r="W3" s="56">
        <f>N3-U3</f>
        <v>19</v>
      </c>
      <c r="X3" s="55">
        <f>ROUND(L3/K3, 2)</f>
        <v>1.97</v>
      </c>
    </row>
    <row r="4" spans="1:24" ht="16.5">
      <c r="A4" s="56" t="s">
        <v>72</v>
      </c>
      <c r="B4" s="56" t="s">
        <v>20</v>
      </c>
      <c r="C4" s="60" t="s">
        <v>422</v>
      </c>
      <c r="D4" s="57">
        <v>1322572</v>
      </c>
      <c r="E4" s="57">
        <f>D4*5%</f>
        <v>66128.600000000006</v>
      </c>
      <c r="F4" s="57">
        <v>20000</v>
      </c>
      <c r="G4" s="57">
        <f>SUM(D4:F4)</f>
        <v>1408700.6</v>
      </c>
      <c r="H4" s="57">
        <v>0</v>
      </c>
      <c r="I4" s="57">
        <f>SUM(G4:H4)</f>
        <v>1408700.6</v>
      </c>
      <c r="J4" s="57">
        <f>I4/K4</f>
        <v>1408700.6</v>
      </c>
      <c r="K4" s="56">
        <v>1</v>
      </c>
      <c r="L4" s="56">
        <v>1</v>
      </c>
      <c r="M4" s="56">
        <f>SUM(K4:L4)</f>
        <v>2</v>
      </c>
      <c r="N4" s="58">
        <v>45408</v>
      </c>
      <c r="O4" s="59">
        <v>45772</v>
      </c>
      <c r="P4" s="56" t="str">
        <f>TEXT(N4, "mmmm")</f>
        <v>April</v>
      </c>
      <c r="Q4" s="56">
        <f>YEAR(N4)</f>
        <v>2024</v>
      </c>
      <c r="R4" s="56" t="s">
        <v>52</v>
      </c>
      <c r="S4" s="56" t="s">
        <v>73</v>
      </c>
      <c r="T4" s="56"/>
      <c r="U4" s="58">
        <v>45352</v>
      </c>
      <c r="V4" s="56">
        <f ca="1">TODAY()-N4</f>
        <v>171</v>
      </c>
      <c r="W4" s="56">
        <f>N4-U4</f>
        <v>56</v>
      </c>
      <c r="X4" s="55">
        <f>ROUND(L4/K4, 2)</f>
        <v>1</v>
      </c>
    </row>
    <row r="5" spans="1:24" ht="16.5">
      <c r="A5" s="56" t="s">
        <v>116</v>
      </c>
      <c r="B5" s="62" t="s">
        <v>20</v>
      </c>
      <c r="C5" s="60" t="s">
        <v>422</v>
      </c>
      <c r="D5" s="57">
        <v>1424655</v>
      </c>
      <c r="E5" s="57">
        <f>D5*5%</f>
        <v>71232.75</v>
      </c>
      <c r="F5" s="57">
        <v>30000</v>
      </c>
      <c r="G5" s="57">
        <f>SUM(D5:F5)</f>
        <v>1525887.75</v>
      </c>
      <c r="H5" s="57">
        <v>0</v>
      </c>
      <c r="I5" s="57">
        <f>SUM(G5:H5)</f>
        <v>1525887.75</v>
      </c>
      <c r="J5" s="57">
        <f>I5/K5</f>
        <v>508629.25</v>
      </c>
      <c r="K5" s="56">
        <v>3</v>
      </c>
      <c r="L5" s="57">
        <v>1</v>
      </c>
      <c r="M5" s="56">
        <v>2</v>
      </c>
      <c r="N5" s="65">
        <v>45502</v>
      </c>
      <c r="O5" s="66">
        <v>45866</v>
      </c>
      <c r="P5" s="56" t="str">
        <f>TEXT(N5, "mmmm")</f>
        <v>July</v>
      </c>
      <c r="Q5" s="56">
        <f>YEAR(N5)</f>
        <v>2024</v>
      </c>
      <c r="R5" s="56" t="s">
        <v>26</v>
      </c>
      <c r="S5" s="56" t="s">
        <v>117</v>
      </c>
      <c r="T5" s="56"/>
      <c r="U5" s="65">
        <v>45464</v>
      </c>
      <c r="V5" s="56">
        <f ca="1">TODAY()-N5</f>
        <v>77</v>
      </c>
      <c r="W5" s="56">
        <f>N5-U5</f>
        <v>38</v>
      </c>
      <c r="X5" s="55">
        <f>ROUND(L5/K5, 2)</f>
        <v>0.33</v>
      </c>
    </row>
    <row r="6" spans="1:24" ht="16.5">
      <c r="A6" s="56" t="s">
        <v>118</v>
      </c>
      <c r="B6" s="62" t="s">
        <v>20</v>
      </c>
      <c r="C6" s="60" t="s">
        <v>422</v>
      </c>
      <c r="D6" s="57">
        <v>2879583</v>
      </c>
      <c r="E6" s="57">
        <f>D6*5%</f>
        <v>143979.15</v>
      </c>
      <c r="F6" s="57">
        <v>70000</v>
      </c>
      <c r="G6" s="57">
        <f>SUM(D6:F6)</f>
        <v>3093562.15</v>
      </c>
      <c r="H6" s="57">
        <v>0</v>
      </c>
      <c r="I6" s="57">
        <f>SUM(G6:H6)</f>
        <v>3093562.15</v>
      </c>
      <c r="J6" s="57">
        <f>I6/K6</f>
        <v>441937.45</v>
      </c>
      <c r="K6" s="56">
        <v>7</v>
      </c>
      <c r="L6" s="57">
        <v>1</v>
      </c>
      <c r="M6" s="56">
        <v>6</v>
      </c>
      <c r="N6" s="65">
        <v>45502</v>
      </c>
      <c r="O6" s="66">
        <v>45866</v>
      </c>
      <c r="P6" s="56" t="str">
        <f>TEXT(N6, "mmmm")</f>
        <v>July</v>
      </c>
      <c r="Q6" s="56">
        <f>YEAR(N6)</f>
        <v>2024</v>
      </c>
      <c r="R6" s="56" t="s">
        <v>26</v>
      </c>
      <c r="S6" s="56" t="s">
        <v>117</v>
      </c>
      <c r="T6" s="56"/>
      <c r="U6" s="65">
        <v>45464</v>
      </c>
      <c r="V6" s="56">
        <f ca="1">TODAY()-N6</f>
        <v>77</v>
      </c>
      <c r="W6" s="56">
        <f>N6-U6</f>
        <v>38</v>
      </c>
      <c r="X6" s="55">
        <f>ROUND(L6/K6, 2)</f>
        <v>0.14000000000000001</v>
      </c>
    </row>
    <row r="7" spans="1:24" ht="16.5">
      <c r="A7" s="56" t="s">
        <v>119</v>
      </c>
      <c r="B7" s="62" t="s">
        <v>20</v>
      </c>
      <c r="C7" s="60" t="s">
        <v>422</v>
      </c>
      <c r="D7" s="57">
        <v>449234</v>
      </c>
      <c r="E7" s="57">
        <f>D7*5%</f>
        <v>22461.7</v>
      </c>
      <c r="F7" s="57">
        <v>10000</v>
      </c>
      <c r="G7" s="57">
        <f>SUM(D7:F7)</f>
        <v>481695.7</v>
      </c>
      <c r="H7" s="57">
        <v>0</v>
      </c>
      <c r="I7" s="57">
        <f>SUM(G7:H7)</f>
        <v>481695.7</v>
      </c>
      <c r="J7" s="57">
        <f>I7/K7</f>
        <v>481695.7</v>
      </c>
      <c r="K7" s="56">
        <v>1</v>
      </c>
      <c r="L7" s="57">
        <v>1</v>
      </c>
      <c r="M7" s="56">
        <v>0</v>
      </c>
      <c r="N7" s="65">
        <v>45502</v>
      </c>
      <c r="O7" s="66">
        <v>45866</v>
      </c>
      <c r="P7" s="56" t="str">
        <f>TEXT(N7, "mmmm")</f>
        <v>July</v>
      </c>
      <c r="Q7" s="56">
        <f>YEAR(N7)</f>
        <v>2024</v>
      </c>
      <c r="R7" s="56" t="s">
        <v>26</v>
      </c>
      <c r="S7" s="56" t="s">
        <v>117</v>
      </c>
      <c r="T7" s="56"/>
      <c r="U7" s="65">
        <v>45464</v>
      </c>
      <c r="V7" s="56">
        <f ca="1">TODAY()-N7</f>
        <v>77</v>
      </c>
      <c r="W7" s="56">
        <f>N7-U7</f>
        <v>38</v>
      </c>
      <c r="X7" s="55">
        <f>ROUND(L7/K7, 2)</f>
        <v>1</v>
      </c>
    </row>
    <row r="8" spans="1:24" ht="16.5">
      <c r="A8" s="61" t="s">
        <v>399</v>
      </c>
      <c r="B8" s="62" t="s">
        <v>20</v>
      </c>
      <c r="C8" s="60" t="s">
        <v>438</v>
      </c>
      <c r="D8" s="55"/>
      <c r="E8" s="55"/>
      <c r="F8" s="55"/>
      <c r="G8" s="55"/>
      <c r="H8" s="55"/>
      <c r="I8" s="67">
        <v>4284439</v>
      </c>
      <c r="J8" s="57">
        <f>I8/K8</f>
        <v>225496.78947368421</v>
      </c>
      <c r="K8" s="68">
        <v>19</v>
      </c>
      <c r="L8" s="61">
        <v>0</v>
      </c>
      <c r="M8" s="68">
        <v>19</v>
      </c>
      <c r="N8" s="69">
        <v>45292</v>
      </c>
      <c r="O8" s="61" t="s">
        <v>401</v>
      </c>
      <c r="P8" s="56" t="str">
        <f>TEXT(N8, "mmmm")</f>
        <v>January</v>
      </c>
      <c r="Q8" s="56">
        <f>YEAR(N8)</f>
        <v>2024</v>
      </c>
      <c r="R8" s="56" t="s">
        <v>52</v>
      </c>
      <c r="S8" s="56" t="s">
        <v>402</v>
      </c>
      <c r="T8" s="56"/>
      <c r="U8" s="69">
        <v>45261</v>
      </c>
      <c r="V8" s="56"/>
      <c r="W8" s="56"/>
      <c r="X8" s="55"/>
    </row>
    <row r="9" spans="1:24" ht="16.5">
      <c r="A9" s="56" t="s">
        <v>77</v>
      </c>
      <c r="B9" s="56" t="s">
        <v>20</v>
      </c>
      <c r="C9" s="60" t="s">
        <v>422</v>
      </c>
      <c r="D9" s="57">
        <f>23153292+2402252+2179983+1520025</f>
        <v>29255552</v>
      </c>
      <c r="E9" s="57">
        <f>D9*5%</f>
        <v>1462777.6</v>
      </c>
      <c r="F9" s="57">
        <f>20000+30000+25000+240000</f>
        <v>315000</v>
      </c>
      <c r="G9" s="57">
        <f>SUM(D9:F9)</f>
        <v>31033329.600000001</v>
      </c>
      <c r="H9" s="57">
        <v>0</v>
      </c>
      <c r="I9" s="57">
        <f>SUM(G9:H9)</f>
        <v>31033329.600000001</v>
      </c>
      <c r="J9" s="57">
        <f>I9/K9</f>
        <v>646527.70000000007</v>
      </c>
      <c r="K9" s="56">
        <v>48</v>
      </c>
      <c r="L9" s="56">
        <f>126-48</f>
        <v>78</v>
      </c>
      <c r="M9" s="56">
        <f>SUM(K9:L9)</f>
        <v>126</v>
      </c>
      <c r="N9" s="58">
        <v>45432</v>
      </c>
      <c r="O9" s="59">
        <v>45796</v>
      </c>
      <c r="P9" s="56" t="str">
        <f>TEXT(N9, "mmmm")</f>
        <v>May</v>
      </c>
      <c r="Q9" s="56">
        <f>YEAR(N9)</f>
        <v>2024</v>
      </c>
      <c r="R9" s="56" t="s">
        <v>52</v>
      </c>
      <c r="S9" s="56" t="s">
        <v>78</v>
      </c>
      <c r="T9" s="56"/>
      <c r="U9" s="58">
        <v>45406</v>
      </c>
      <c r="V9" s="56">
        <f ca="1">TODAY()-N9</f>
        <v>147</v>
      </c>
      <c r="W9" s="56">
        <f>N9-U9</f>
        <v>26</v>
      </c>
      <c r="X9" s="55">
        <f>ROUND(L9/K9, 2)</f>
        <v>1.63</v>
      </c>
    </row>
    <row r="10" spans="1:24" ht="16.5">
      <c r="A10" s="56" t="s">
        <v>29</v>
      </c>
      <c r="B10" s="56" t="s">
        <v>20</v>
      </c>
      <c r="C10" s="60" t="s">
        <v>422</v>
      </c>
      <c r="D10" s="57">
        <v>457803</v>
      </c>
      <c r="E10" s="57">
        <f>D10*5%</f>
        <v>22890.15</v>
      </c>
      <c r="F10" s="57">
        <v>10000</v>
      </c>
      <c r="G10" s="57">
        <f>SUM(D10:F10)</f>
        <v>490693.15</v>
      </c>
      <c r="H10" s="57">
        <v>0</v>
      </c>
      <c r="I10" s="57">
        <f>SUM(G10:H10)</f>
        <v>490693.15</v>
      </c>
      <c r="J10" s="57">
        <f>I10/K10</f>
        <v>490693.15</v>
      </c>
      <c r="K10" s="56">
        <v>1</v>
      </c>
      <c r="L10" s="56">
        <v>0</v>
      </c>
      <c r="M10" s="56">
        <f>SUM(K10:L10)</f>
        <v>1</v>
      </c>
      <c r="N10" s="58">
        <v>45316</v>
      </c>
      <c r="O10" s="59">
        <v>45681</v>
      </c>
      <c r="P10" s="56" t="str">
        <f>TEXT(N10, "mmmm")</f>
        <v>January</v>
      </c>
      <c r="Q10" s="56">
        <f>YEAR(N10)</f>
        <v>2024</v>
      </c>
      <c r="R10" s="56" t="s">
        <v>22</v>
      </c>
      <c r="S10" s="56" t="s">
        <v>30</v>
      </c>
      <c r="T10" s="47" t="s">
        <v>426</v>
      </c>
      <c r="U10" s="58">
        <v>45244</v>
      </c>
      <c r="V10" s="56">
        <f ca="1">TODAY()-N10</f>
        <v>263</v>
      </c>
      <c r="W10" s="56">
        <f>N10-U10</f>
        <v>72</v>
      </c>
      <c r="X10" s="55">
        <f>ROUND(L10/K10, 2)</f>
        <v>0</v>
      </c>
    </row>
    <row r="11" spans="1:24" ht="16.5">
      <c r="A11" s="56" t="s">
        <v>35</v>
      </c>
      <c r="B11" s="56" t="s">
        <v>20</v>
      </c>
      <c r="C11" s="60" t="s">
        <v>422</v>
      </c>
      <c r="D11" s="57">
        <v>11388150</v>
      </c>
      <c r="E11" s="57">
        <f>D11*5%</f>
        <v>569407.5</v>
      </c>
      <c r="F11" s="57">
        <v>200000</v>
      </c>
      <c r="G11" s="57">
        <f>SUM(D11:F11)</f>
        <v>12157557.5</v>
      </c>
      <c r="H11" s="57">
        <v>0</v>
      </c>
      <c r="I11" s="57">
        <f>SUM(G11:H11)</f>
        <v>12157557.5</v>
      </c>
      <c r="J11" s="57">
        <f>I11/K11</f>
        <v>1350839.7222222222</v>
      </c>
      <c r="K11" s="56">
        <v>9</v>
      </c>
      <c r="L11" s="56">
        <v>11</v>
      </c>
      <c r="M11" s="56">
        <f>SUM(K11:L11)</f>
        <v>20</v>
      </c>
      <c r="N11" s="58">
        <v>45328</v>
      </c>
      <c r="O11" s="59">
        <v>45693</v>
      </c>
      <c r="P11" s="56" t="str">
        <f>TEXT(N11, "mmmm")</f>
        <v>February</v>
      </c>
      <c r="Q11" s="56">
        <f>YEAR(N11)</f>
        <v>2024</v>
      </c>
      <c r="R11" s="56" t="s">
        <v>22</v>
      </c>
      <c r="S11" s="56" t="s">
        <v>30</v>
      </c>
      <c r="T11" s="47" t="s">
        <v>426</v>
      </c>
      <c r="U11" s="58">
        <v>45200</v>
      </c>
      <c r="V11" s="56">
        <f ca="1">TODAY()-N11</f>
        <v>251</v>
      </c>
      <c r="W11" s="56">
        <f>N11-U11</f>
        <v>128</v>
      </c>
      <c r="X11" s="55">
        <f>ROUND(L11/K11, 2)</f>
        <v>1.22</v>
      </c>
    </row>
    <row r="12" spans="1:24" ht="16.5">
      <c r="A12" s="56" t="s">
        <v>48</v>
      </c>
      <c r="B12" s="56" t="s">
        <v>20</v>
      </c>
      <c r="C12" s="60" t="s">
        <v>422</v>
      </c>
      <c r="D12" s="57">
        <v>17137620</v>
      </c>
      <c r="E12" s="57">
        <f>D12*5%</f>
        <v>856881</v>
      </c>
      <c r="F12" s="57">
        <v>480000</v>
      </c>
      <c r="G12" s="57">
        <f>SUM(D12:F12)</f>
        <v>18474501</v>
      </c>
      <c r="H12" s="57">
        <v>0</v>
      </c>
      <c r="I12" s="57">
        <f>SUM(G12:H12)</f>
        <v>18474501</v>
      </c>
      <c r="J12" s="57">
        <f>I12/K12</f>
        <v>1539541.75</v>
      </c>
      <c r="K12" s="56">
        <v>12</v>
      </c>
      <c r="L12" s="56">
        <v>36</v>
      </c>
      <c r="M12" s="56">
        <f>SUM(K12:L12)</f>
        <v>48</v>
      </c>
      <c r="N12" s="58">
        <v>45361</v>
      </c>
      <c r="O12" s="59">
        <v>45725</v>
      </c>
      <c r="P12" s="56" t="str">
        <f>TEXT(N12, "mmmm")</f>
        <v>March</v>
      </c>
      <c r="Q12" s="56">
        <f>YEAR(N12)</f>
        <v>2024</v>
      </c>
      <c r="R12" s="56" t="s">
        <v>22</v>
      </c>
      <c r="S12" s="56" t="s">
        <v>30</v>
      </c>
      <c r="T12" s="47" t="s">
        <v>426</v>
      </c>
      <c r="U12" s="58">
        <v>45348</v>
      </c>
      <c r="V12" s="56">
        <f ca="1">TODAY()-N12</f>
        <v>218</v>
      </c>
      <c r="W12" s="56">
        <f>N12-U12</f>
        <v>13</v>
      </c>
      <c r="X12" s="55">
        <f>ROUND(L12/K12, 2)</f>
        <v>3</v>
      </c>
    </row>
    <row r="13" spans="1:24" ht="16.5">
      <c r="A13" s="56" t="s">
        <v>69</v>
      </c>
      <c r="B13" s="56" t="s">
        <v>20</v>
      </c>
      <c r="C13" s="60" t="s">
        <v>422</v>
      </c>
      <c r="D13" s="57">
        <v>12020631</v>
      </c>
      <c r="E13" s="57">
        <f>D13*5%</f>
        <v>601031.55000000005</v>
      </c>
      <c r="F13" s="57">
        <v>320000</v>
      </c>
      <c r="G13" s="57">
        <f>SUM(D13:F13)</f>
        <v>12941662.550000001</v>
      </c>
      <c r="H13" s="57">
        <v>0</v>
      </c>
      <c r="I13" s="57">
        <f>SUM(G13:H13)</f>
        <v>12941662.550000001</v>
      </c>
      <c r="J13" s="57">
        <f>I13/K13</f>
        <v>862777.50333333341</v>
      </c>
      <c r="K13" s="56">
        <v>15</v>
      </c>
      <c r="L13" s="56">
        <v>17</v>
      </c>
      <c r="M13" s="56">
        <f>SUM(K13:L13)</f>
        <v>32</v>
      </c>
      <c r="N13" s="58">
        <v>45413</v>
      </c>
      <c r="O13" s="59" t="s">
        <v>67</v>
      </c>
      <c r="P13" s="56" t="str">
        <f>TEXT(N13, "mmmm")</f>
        <v>May</v>
      </c>
      <c r="Q13" s="56">
        <f>YEAR(N13)</f>
        <v>2024</v>
      </c>
      <c r="R13" s="56" t="s">
        <v>22</v>
      </c>
      <c r="S13" s="56" t="s">
        <v>30</v>
      </c>
      <c r="T13" s="47" t="s">
        <v>426</v>
      </c>
      <c r="U13" s="58">
        <v>45355</v>
      </c>
      <c r="V13" s="56">
        <f ca="1">TODAY()-N13</f>
        <v>166</v>
      </c>
      <c r="W13" s="56">
        <f>N13-U13</f>
        <v>58</v>
      </c>
      <c r="X13" s="55">
        <f>ROUND(L13/K13, 2)</f>
        <v>1.1299999999999999</v>
      </c>
    </row>
    <row r="14" spans="1:24" ht="16.5">
      <c r="A14" s="56" t="s">
        <v>98</v>
      </c>
      <c r="B14" s="56" t="s">
        <v>20</v>
      </c>
      <c r="C14" s="60" t="s">
        <v>422</v>
      </c>
      <c r="D14" s="57">
        <v>5159580</v>
      </c>
      <c r="E14" s="57">
        <f>D14*5%</f>
        <v>257979</v>
      </c>
      <c r="F14" s="57">
        <f>230000+110000</f>
        <v>340000</v>
      </c>
      <c r="G14" s="57">
        <f>SUM(D14:F14)</f>
        <v>5757559</v>
      </c>
      <c r="H14" s="57">
        <v>0</v>
      </c>
      <c r="I14" s="57">
        <f>SUM(G14:H14)</f>
        <v>5757559</v>
      </c>
      <c r="J14" s="57">
        <f>I14/K14</f>
        <v>822508.42857142852</v>
      </c>
      <c r="K14" s="56">
        <v>7</v>
      </c>
      <c r="L14" s="57">
        <v>27</v>
      </c>
      <c r="M14" s="56">
        <f>SUM(K14:L14)</f>
        <v>34</v>
      </c>
      <c r="N14" s="58">
        <v>45462</v>
      </c>
      <c r="O14" s="59">
        <v>45826</v>
      </c>
      <c r="P14" s="56" t="str">
        <f>TEXT(N14, "mmmm")</f>
        <v>June</v>
      </c>
      <c r="Q14" s="56">
        <f>YEAR(N14)</f>
        <v>2024</v>
      </c>
      <c r="R14" s="56" t="s">
        <v>22</v>
      </c>
      <c r="S14" s="56" t="s">
        <v>30</v>
      </c>
      <c r="T14" s="47" t="s">
        <v>426</v>
      </c>
      <c r="U14" s="58">
        <v>45369</v>
      </c>
      <c r="V14" s="56">
        <f ca="1">TODAY()-N14</f>
        <v>117</v>
      </c>
      <c r="W14" s="56">
        <f>N14-U14</f>
        <v>93</v>
      </c>
      <c r="X14" s="55">
        <f>ROUND(L14/K14, 2)</f>
        <v>3.86</v>
      </c>
    </row>
    <row r="15" spans="1:24" ht="16.5">
      <c r="A15" s="61" t="s">
        <v>404</v>
      </c>
      <c r="B15" s="62" t="s">
        <v>20</v>
      </c>
      <c r="C15" s="60" t="s">
        <v>438</v>
      </c>
      <c r="D15" s="55"/>
      <c r="E15" s="55"/>
      <c r="F15" s="55"/>
      <c r="G15" s="55"/>
      <c r="H15" s="55"/>
      <c r="I15" s="67">
        <v>2088990</v>
      </c>
      <c r="J15" s="57">
        <f>I15/K15</f>
        <v>32138.307692307691</v>
      </c>
      <c r="K15" s="68">
        <v>65</v>
      </c>
      <c r="L15" s="61">
        <v>0</v>
      </c>
      <c r="M15" s="68">
        <v>65</v>
      </c>
      <c r="N15" s="69">
        <v>45362</v>
      </c>
      <c r="O15" s="69">
        <v>45636</v>
      </c>
      <c r="P15" s="56" t="str">
        <f>TEXT(N15, "mmmm")</f>
        <v>March</v>
      </c>
      <c r="Q15" s="56">
        <f>YEAR(N15)</f>
        <v>2024</v>
      </c>
      <c r="R15" s="56" t="s">
        <v>22</v>
      </c>
      <c r="S15" s="56" t="s">
        <v>30</v>
      </c>
      <c r="T15" s="47" t="s">
        <v>426</v>
      </c>
      <c r="U15" s="69">
        <v>45323</v>
      </c>
      <c r="V15" s="56"/>
      <c r="W15" s="56"/>
      <c r="X15" s="55"/>
    </row>
    <row r="16" spans="1:24" ht="16.5">
      <c r="A16" s="56" t="s">
        <v>31</v>
      </c>
      <c r="B16" s="56" t="s">
        <v>20</v>
      </c>
      <c r="C16" s="60" t="s">
        <v>422</v>
      </c>
      <c r="D16" s="57">
        <v>2519484</v>
      </c>
      <c r="E16" s="57">
        <f>D16*5%</f>
        <v>125974.20000000001</v>
      </c>
      <c r="F16" s="57">
        <v>70000</v>
      </c>
      <c r="G16" s="57">
        <f>SUM(D16:F16)</f>
        <v>2715458.2</v>
      </c>
      <c r="H16" s="57">
        <v>0</v>
      </c>
      <c r="I16" s="57">
        <f>SUM(G16:H16)</f>
        <v>2715458.2</v>
      </c>
      <c r="J16" s="57">
        <f>I16/K16</f>
        <v>678864.55</v>
      </c>
      <c r="K16" s="56">
        <v>4</v>
      </c>
      <c r="L16" s="56">
        <v>3</v>
      </c>
      <c r="M16" s="56">
        <f>SUM(K16:L16)</f>
        <v>7</v>
      </c>
      <c r="N16" s="58">
        <v>45292</v>
      </c>
      <c r="O16" s="59">
        <v>46022</v>
      </c>
      <c r="P16" s="56" t="str">
        <f>TEXT(N16, "mmmm")</f>
        <v>January</v>
      </c>
      <c r="Q16" s="56">
        <f>YEAR(N16)</f>
        <v>2024</v>
      </c>
      <c r="R16" s="56" t="s">
        <v>22</v>
      </c>
      <c r="S16" s="56" t="s">
        <v>32</v>
      </c>
      <c r="T16" s="47" t="s">
        <v>428</v>
      </c>
      <c r="U16" s="58">
        <v>45278</v>
      </c>
      <c r="V16" s="56">
        <f ca="1">TODAY()-N16</f>
        <v>287</v>
      </c>
      <c r="W16" s="56">
        <f>N16-U16</f>
        <v>14</v>
      </c>
      <c r="X16" s="55">
        <f>ROUND(L16/K16, 2)</f>
        <v>0.75</v>
      </c>
    </row>
    <row r="17" spans="1:24" ht="16.5">
      <c r="A17" s="56" t="s">
        <v>36</v>
      </c>
      <c r="B17" s="56" t="s">
        <v>20</v>
      </c>
      <c r="C17" s="60" t="s">
        <v>422</v>
      </c>
      <c r="D17" s="57">
        <v>2920457</v>
      </c>
      <c r="E17" s="57">
        <f>D17*5%</f>
        <v>146022.85</v>
      </c>
      <c r="F17" s="57">
        <v>60000</v>
      </c>
      <c r="G17" s="57">
        <f>SUM(D17:F17)</f>
        <v>3126479.85</v>
      </c>
      <c r="H17" s="57">
        <v>0</v>
      </c>
      <c r="I17" s="57">
        <f>SUM(G17:H17)</f>
        <v>3126479.85</v>
      </c>
      <c r="J17" s="57">
        <f>I17/K17</f>
        <v>521079.97500000003</v>
      </c>
      <c r="K17" s="56">
        <v>6</v>
      </c>
      <c r="L17" s="56">
        <v>0</v>
      </c>
      <c r="M17" s="56">
        <f>SUM(K17:L17)</f>
        <v>6</v>
      </c>
      <c r="N17" s="58">
        <v>45331</v>
      </c>
      <c r="O17" s="59">
        <v>45696</v>
      </c>
      <c r="P17" s="56" t="str">
        <f>TEXT(N17, "mmmm")</f>
        <v>February</v>
      </c>
      <c r="Q17" s="56">
        <f>YEAR(N17)</f>
        <v>2024</v>
      </c>
      <c r="R17" s="56" t="s">
        <v>22</v>
      </c>
      <c r="S17" s="56" t="s">
        <v>32</v>
      </c>
      <c r="T17" s="47" t="s">
        <v>428</v>
      </c>
      <c r="U17" s="58">
        <v>45208</v>
      </c>
      <c r="V17" s="56">
        <f ca="1">TODAY()-N17</f>
        <v>248</v>
      </c>
      <c r="W17" s="56">
        <f>N17-U17</f>
        <v>123</v>
      </c>
      <c r="X17" s="55">
        <f>ROUND(L17/K17, 2)</f>
        <v>0</v>
      </c>
    </row>
    <row r="18" spans="1:24" ht="16.5">
      <c r="A18" s="56" t="s">
        <v>43</v>
      </c>
      <c r="B18" s="56" t="s">
        <v>20</v>
      </c>
      <c r="C18" s="60" t="s">
        <v>422</v>
      </c>
      <c r="D18" s="57">
        <f>1039872+1855441</f>
        <v>2895313</v>
      </c>
      <c r="E18" s="57">
        <f>D18*5%</f>
        <v>144765.65</v>
      </c>
      <c r="F18" s="57">
        <v>60000</v>
      </c>
      <c r="G18" s="57">
        <f>SUM(D18:F18)</f>
        <v>3100078.65</v>
      </c>
      <c r="H18" s="57"/>
      <c r="I18" s="57">
        <f>SUM(G18:H18)</f>
        <v>3100078.65</v>
      </c>
      <c r="J18" s="57">
        <f>I18/K18</f>
        <v>516679.77499999997</v>
      </c>
      <c r="K18" s="56">
        <v>6</v>
      </c>
      <c r="L18" s="56">
        <v>0</v>
      </c>
      <c r="M18" s="56">
        <f>SUM(K18:L18)</f>
        <v>6</v>
      </c>
      <c r="N18" s="58">
        <v>45350</v>
      </c>
      <c r="O18" s="59">
        <v>45715</v>
      </c>
      <c r="P18" s="56" t="str">
        <f>TEXT(N18, "mmmm")</f>
        <v>February</v>
      </c>
      <c r="Q18" s="56">
        <f>YEAR(N18)</f>
        <v>2024</v>
      </c>
      <c r="R18" s="56" t="s">
        <v>22</v>
      </c>
      <c r="S18" s="56" t="s">
        <v>32</v>
      </c>
      <c r="T18" s="47" t="s">
        <v>428</v>
      </c>
      <c r="U18" s="58">
        <v>45335</v>
      </c>
      <c r="V18" s="56">
        <f ca="1">TODAY()-N18</f>
        <v>229</v>
      </c>
      <c r="W18" s="56">
        <f>N18-U18</f>
        <v>15</v>
      </c>
      <c r="X18" s="55">
        <f>ROUND(L18/K18, 2)</f>
        <v>0</v>
      </c>
    </row>
    <row r="19" spans="1:24" ht="16.5">
      <c r="A19" s="56" t="s">
        <v>55</v>
      </c>
      <c r="B19" s="56" t="s">
        <v>20</v>
      </c>
      <c r="C19" s="60" t="s">
        <v>422</v>
      </c>
      <c r="D19" s="57">
        <v>1222368</v>
      </c>
      <c r="E19" s="57">
        <f>D19*5%</f>
        <v>61118.400000000001</v>
      </c>
      <c r="F19" s="57">
        <v>30000</v>
      </c>
      <c r="G19" s="57">
        <f>SUM(D19:F19)</f>
        <v>1313486.3999999999</v>
      </c>
      <c r="H19" s="57">
        <v>0</v>
      </c>
      <c r="I19" s="57">
        <f>SUM(G19:H19)</f>
        <v>1313486.3999999999</v>
      </c>
      <c r="J19" s="57">
        <f>I19/K19</f>
        <v>437828.8</v>
      </c>
      <c r="K19" s="56">
        <v>3</v>
      </c>
      <c r="L19" s="56">
        <v>0</v>
      </c>
      <c r="M19" s="56">
        <f>SUM(K19:L19)</f>
        <v>3</v>
      </c>
      <c r="N19" s="58">
        <v>45377</v>
      </c>
      <c r="O19" s="59">
        <v>45741</v>
      </c>
      <c r="P19" s="56" t="str">
        <f>TEXT(N19, "mmmm")</f>
        <v>March</v>
      </c>
      <c r="Q19" s="56">
        <f>YEAR(N19)</f>
        <v>2024</v>
      </c>
      <c r="R19" s="56" t="s">
        <v>22</v>
      </c>
      <c r="S19" s="56" t="s">
        <v>32</v>
      </c>
      <c r="T19" s="47" t="s">
        <v>428</v>
      </c>
      <c r="U19" s="58"/>
      <c r="V19" s="56">
        <f ca="1">TODAY()-N19</f>
        <v>202</v>
      </c>
      <c r="W19" s="56"/>
      <c r="X19" s="55">
        <f>ROUND(L19/K19, 2)</f>
        <v>0</v>
      </c>
    </row>
    <row r="20" spans="1:24" ht="16.5">
      <c r="A20" s="56" t="s">
        <v>70</v>
      </c>
      <c r="B20" s="56" t="s">
        <v>71</v>
      </c>
      <c r="C20" s="47" t="s">
        <v>421</v>
      </c>
      <c r="D20" s="57">
        <f>126596+4172897</f>
        <v>4299493</v>
      </c>
      <c r="E20" s="57">
        <f>D20*5%</f>
        <v>214974.65000000002</v>
      </c>
      <c r="F20" s="57">
        <f>210000+5000</f>
        <v>215000</v>
      </c>
      <c r="G20" s="57">
        <f>SUM(D20:F20)</f>
        <v>4729467.6500000004</v>
      </c>
      <c r="H20" s="57">
        <f>5299677+630000+113400+169006+15000+2700</f>
        <v>6229783</v>
      </c>
      <c r="I20" s="57">
        <f>SUM(G20:H20)</f>
        <v>10959250.65</v>
      </c>
      <c r="J20" s="57">
        <f>I20/K20</f>
        <v>304423.62916666665</v>
      </c>
      <c r="K20" s="56">
        <f>35+1</f>
        <v>36</v>
      </c>
      <c r="L20" s="56">
        <v>7</v>
      </c>
      <c r="M20" s="56">
        <f>SUM(K20:L20)</f>
        <v>43</v>
      </c>
      <c r="N20" s="58">
        <v>45420</v>
      </c>
      <c r="O20" s="59">
        <v>45784</v>
      </c>
      <c r="P20" s="56" t="str">
        <f>TEXT(N20, "mmmm")</f>
        <v>May</v>
      </c>
      <c r="Q20" s="56">
        <f>YEAR(N20)</f>
        <v>2024</v>
      </c>
      <c r="R20" s="56" t="s">
        <v>22</v>
      </c>
      <c r="S20" s="56" t="s">
        <v>32</v>
      </c>
      <c r="T20" s="47" t="s">
        <v>428</v>
      </c>
      <c r="U20" s="58"/>
      <c r="V20" s="56">
        <f ca="1">TODAY()-N20</f>
        <v>159</v>
      </c>
      <c r="W20" s="56">
        <v>0</v>
      </c>
      <c r="X20" s="55">
        <f>ROUND(L20/K20, 2)</f>
        <v>0.19</v>
      </c>
    </row>
    <row r="21" spans="1:24" ht="16.5">
      <c r="A21" s="56" t="s">
        <v>80</v>
      </c>
      <c r="B21" s="56" t="s">
        <v>20</v>
      </c>
      <c r="C21" s="60" t="s">
        <v>422</v>
      </c>
      <c r="D21" s="57">
        <v>519366</v>
      </c>
      <c r="E21" s="57">
        <f>D21*5%</f>
        <v>25968.300000000003</v>
      </c>
      <c r="F21" s="57">
        <v>10000</v>
      </c>
      <c r="G21" s="57">
        <f>SUM(D21:F21)</f>
        <v>555334.30000000005</v>
      </c>
      <c r="H21" s="57">
        <v>0</v>
      </c>
      <c r="I21" s="57">
        <f>SUM(G21:H21)</f>
        <v>555334.30000000005</v>
      </c>
      <c r="J21" s="57">
        <f>I21/K21</f>
        <v>555334.30000000005</v>
      </c>
      <c r="K21" s="56">
        <v>1</v>
      </c>
      <c r="L21" s="56">
        <v>0</v>
      </c>
      <c r="M21" s="56">
        <f>SUM(K21:L21)</f>
        <v>1</v>
      </c>
      <c r="N21" s="58">
        <v>45443</v>
      </c>
      <c r="O21" s="59">
        <v>45807</v>
      </c>
      <c r="P21" s="56" t="str">
        <f>TEXT(N21, "mmmm")</f>
        <v>May</v>
      </c>
      <c r="Q21" s="56">
        <f>YEAR(N21)</f>
        <v>2024</v>
      </c>
      <c r="R21" s="56" t="s">
        <v>22</v>
      </c>
      <c r="S21" s="56" t="s">
        <v>32</v>
      </c>
      <c r="T21" s="47" t="s">
        <v>428</v>
      </c>
      <c r="U21" s="58">
        <v>45442</v>
      </c>
      <c r="V21" s="56">
        <f ca="1">TODAY()-N21</f>
        <v>136</v>
      </c>
      <c r="W21" s="56">
        <f>N21-U21</f>
        <v>1</v>
      </c>
      <c r="X21" s="55">
        <f>ROUND(L21/K21, 2)</f>
        <v>0</v>
      </c>
    </row>
    <row r="22" spans="1:24" ht="15.75" customHeight="1">
      <c r="A22" s="56" t="s">
        <v>97</v>
      </c>
      <c r="B22" s="56" t="s">
        <v>20</v>
      </c>
      <c r="C22" s="60" t="s">
        <v>422</v>
      </c>
      <c r="D22" s="57">
        <f>2580935+16648201</f>
        <v>19229136</v>
      </c>
      <c r="E22" s="57">
        <f>D22*5%</f>
        <v>961456.8</v>
      </c>
      <c r="F22" s="57">
        <v>320000</v>
      </c>
      <c r="G22" s="57">
        <f>SUM(D22:F22)</f>
        <v>20510592.800000001</v>
      </c>
      <c r="H22" s="57">
        <v>0</v>
      </c>
      <c r="I22" s="57">
        <f>SUM(G22:H22)</f>
        <v>20510592.800000001</v>
      </c>
      <c r="J22" s="57">
        <f>I22/K22</f>
        <v>976694.89523809531</v>
      </c>
      <c r="K22" s="56">
        <v>21</v>
      </c>
      <c r="L22" s="57">
        <f>64-21</f>
        <v>43</v>
      </c>
      <c r="M22" s="56">
        <f>SUM(K22:L22)</f>
        <v>64</v>
      </c>
      <c r="N22" s="58">
        <v>45464</v>
      </c>
      <c r="O22" s="59">
        <v>45828</v>
      </c>
      <c r="P22" s="56" t="str">
        <f>TEXT(N22, "mmmm")</f>
        <v>June</v>
      </c>
      <c r="Q22" s="56">
        <f>YEAR(N22)</f>
        <v>2024</v>
      </c>
      <c r="R22" s="56" t="s">
        <v>22</v>
      </c>
      <c r="S22" s="56" t="s">
        <v>32</v>
      </c>
      <c r="T22" s="47" t="s">
        <v>428</v>
      </c>
      <c r="U22" s="58">
        <v>45435</v>
      </c>
      <c r="V22" s="56">
        <f ca="1">TODAY()-N22</f>
        <v>115</v>
      </c>
      <c r="W22" s="56">
        <f>N22-U22</f>
        <v>29</v>
      </c>
      <c r="X22" s="55">
        <f>ROUND(L22/K22, 2)</f>
        <v>2.0499999999999998</v>
      </c>
    </row>
    <row r="23" spans="1:24" ht="15.75" customHeight="1">
      <c r="A23" s="61" t="s">
        <v>403</v>
      </c>
      <c r="B23" s="62" t="s">
        <v>20</v>
      </c>
      <c r="C23" s="60" t="s">
        <v>438</v>
      </c>
      <c r="D23" s="55"/>
      <c r="E23" s="55"/>
      <c r="F23" s="55"/>
      <c r="G23" s="55"/>
      <c r="H23" s="55"/>
      <c r="I23" s="67">
        <v>1125000</v>
      </c>
      <c r="J23" s="57">
        <f>I23/K23</f>
        <v>225000</v>
      </c>
      <c r="K23" s="68">
        <v>5</v>
      </c>
      <c r="L23" s="61">
        <v>0</v>
      </c>
      <c r="M23" s="68">
        <v>5</v>
      </c>
      <c r="N23" s="69">
        <v>45327</v>
      </c>
      <c r="O23" s="69">
        <v>45477</v>
      </c>
      <c r="P23" s="56" t="str">
        <f>TEXT(N23, "mmmm")</f>
        <v>February</v>
      </c>
      <c r="Q23" s="56">
        <f>YEAR(N23)</f>
        <v>2024</v>
      </c>
      <c r="R23" s="56" t="s">
        <v>22</v>
      </c>
      <c r="S23" s="56" t="s">
        <v>32</v>
      </c>
      <c r="T23" s="47" t="s">
        <v>428</v>
      </c>
      <c r="U23" s="69">
        <v>45265</v>
      </c>
      <c r="V23" s="56"/>
      <c r="W23" s="56"/>
      <c r="X23" s="55"/>
    </row>
    <row r="24" spans="1:24" ht="15.75" customHeight="1">
      <c r="A24" s="61" t="s">
        <v>403</v>
      </c>
      <c r="B24" s="62" t="s">
        <v>20</v>
      </c>
      <c r="C24" s="60" t="s">
        <v>438</v>
      </c>
      <c r="D24" s="55"/>
      <c r="E24" s="55"/>
      <c r="F24" s="55"/>
      <c r="G24" s="55"/>
      <c r="H24" s="55"/>
      <c r="I24" s="67">
        <v>1185065</v>
      </c>
      <c r="J24" s="57">
        <f>I24/K24</f>
        <v>237013</v>
      </c>
      <c r="K24" s="68">
        <v>5</v>
      </c>
      <c r="L24" s="61">
        <v>0</v>
      </c>
      <c r="M24" s="68">
        <v>5</v>
      </c>
      <c r="N24" s="69">
        <v>45536</v>
      </c>
      <c r="O24" s="69">
        <v>45716</v>
      </c>
      <c r="P24" s="56" t="str">
        <f>TEXT(N24, "mmmm")</f>
        <v>September</v>
      </c>
      <c r="Q24" s="56">
        <f>YEAR(N24)</f>
        <v>2024</v>
      </c>
      <c r="R24" s="61" t="s">
        <v>22</v>
      </c>
      <c r="S24" s="61" t="s">
        <v>32</v>
      </c>
      <c r="T24" s="47" t="s">
        <v>428</v>
      </c>
      <c r="U24" s="70"/>
      <c r="V24" s="70"/>
      <c r="W24" s="70"/>
      <c r="X24" s="70"/>
    </row>
    <row r="25" spans="1:24" ht="15.75" customHeight="1">
      <c r="A25" s="56" t="s">
        <v>45</v>
      </c>
      <c r="B25" s="56" t="s">
        <v>38</v>
      </c>
      <c r="C25" s="60" t="s">
        <v>422</v>
      </c>
      <c r="D25" s="57">
        <v>3808773</v>
      </c>
      <c r="E25" s="57">
        <f>D25*5%</f>
        <v>190438.65000000002</v>
      </c>
      <c r="F25" s="57">
        <v>170000</v>
      </c>
      <c r="G25" s="57">
        <f>SUM(D25:F25)</f>
        <v>4169211.65</v>
      </c>
      <c r="H25" s="57">
        <f>6435139+510000+91800</f>
        <v>7036939</v>
      </c>
      <c r="I25" s="57">
        <f>SUM(G25:H25)</f>
        <v>11206150.65</v>
      </c>
      <c r="J25" s="57">
        <f>I25/K25</f>
        <v>589797.40263157897</v>
      </c>
      <c r="K25" s="56">
        <v>19</v>
      </c>
      <c r="L25" s="56">
        <f>34-17</f>
        <v>17</v>
      </c>
      <c r="M25" s="56">
        <f>SUM(K25:L25)</f>
        <v>36</v>
      </c>
      <c r="N25" s="58">
        <v>45362</v>
      </c>
      <c r="O25" s="59">
        <v>45726</v>
      </c>
      <c r="P25" s="56" t="str">
        <f>TEXT(N25, "mmmm")</f>
        <v>March</v>
      </c>
      <c r="Q25" s="56">
        <f>YEAR(N25)</f>
        <v>2024</v>
      </c>
      <c r="R25" s="56" t="s">
        <v>22</v>
      </c>
      <c r="S25" s="56" t="s">
        <v>46</v>
      </c>
      <c r="T25" s="47" t="s">
        <v>428</v>
      </c>
      <c r="U25" s="58">
        <v>45301</v>
      </c>
      <c r="V25" s="56">
        <f ca="1">TODAY()-N25</f>
        <v>217</v>
      </c>
      <c r="W25" s="56">
        <f>N25-U25</f>
        <v>61</v>
      </c>
      <c r="X25" s="55">
        <f>ROUND(L25/K25, 2)</f>
        <v>0.89</v>
      </c>
    </row>
    <row r="26" spans="1:24" ht="15.75" customHeight="1">
      <c r="A26" s="56" t="s">
        <v>57</v>
      </c>
      <c r="B26" s="56" t="s">
        <v>20</v>
      </c>
      <c r="C26" s="60" t="s">
        <v>422</v>
      </c>
      <c r="D26" s="57">
        <v>43221196.509999998</v>
      </c>
      <c r="E26" s="57">
        <f>D26*5%</f>
        <v>2161059.8254999998</v>
      </c>
      <c r="F26" s="57">
        <v>1310000</v>
      </c>
      <c r="G26" s="57">
        <f>SUM(D26:F26)</f>
        <v>46692256.335499994</v>
      </c>
      <c r="H26" s="57">
        <v>0</v>
      </c>
      <c r="I26" s="57">
        <f>SUM(G26:H26)</f>
        <v>46692256.335499994</v>
      </c>
      <c r="J26" s="57">
        <f>I26/K26</f>
        <v>536692.60155747121</v>
      </c>
      <c r="K26" s="56">
        <f>18+69</f>
        <v>87</v>
      </c>
      <c r="L26" s="56">
        <f>131-87</f>
        <v>44</v>
      </c>
      <c r="M26" s="56">
        <f>SUM(K26:L26)</f>
        <v>131</v>
      </c>
      <c r="N26" s="58">
        <v>45395</v>
      </c>
      <c r="O26" s="59">
        <v>45759</v>
      </c>
      <c r="P26" s="56" t="str">
        <f>TEXT(N26, "mmmm")</f>
        <v>April</v>
      </c>
      <c r="Q26" s="56">
        <f>YEAR(N26)</f>
        <v>2024</v>
      </c>
      <c r="R26" s="56" t="s">
        <v>22</v>
      </c>
      <c r="S26" s="56" t="s">
        <v>58</v>
      </c>
      <c r="T26" s="47" t="s">
        <v>428</v>
      </c>
      <c r="U26" s="58">
        <v>45296</v>
      </c>
      <c r="V26" s="56">
        <f ca="1">TODAY()-N26</f>
        <v>184</v>
      </c>
      <c r="W26" s="56">
        <f>N26-U26</f>
        <v>99</v>
      </c>
      <c r="X26" s="55">
        <f>ROUND(L26/K26, 2)</f>
        <v>0.51</v>
      </c>
    </row>
    <row r="27" spans="1:24" ht="15.75" customHeight="1">
      <c r="A27" s="56" t="s">
        <v>83</v>
      </c>
      <c r="B27" s="56" t="s">
        <v>20</v>
      </c>
      <c r="C27" s="60" t="s">
        <v>422</v>
      </c>
      <c r="D27" s="57">
        <v>131969250</v>
      </c>
      <c r="E27" s="57">
        <f>D27*5%</f>
        <v>6598462.5</v>
      </c>
      <c r="F27" s="57">
        <v>1527500</v>
      </c>
      <c r="G27" s="57">
        <f>SUM(D27:F27)</f>
        <v>140095212.5</v>
      </c>
      <c r="H27" s="57">
        <v>0</v>
      </c>
      <c r="I27" s="57">
        <f>SUM(G27:H27)</f>
        <v>140095212.5</v>
      </c>
      <c r="J27" s="57">
        <f>I27/K27</f>
        <v>741244.51058201061</v>
      </c>
      <c r="K27" s="56">
        <v>189</v>
      </c>
      <c r="L27" s="57">
        <f>611-K27</f>
        <v>422</v>
      </c>
      <c r="M27" s="56">
        <f>SUM(K27:L27)</f>
        <v>611</v>
      </c>
      <c r="N27" s="58">
        <v>45444</v>
      </c>
      <c r="O27" s="59">
        <v>45808</v>
      </c>
      <c r="P27" s="56" t="str">
        <f>TEXT(N27, "mmmm")</f>
        <v>June</v>
      </c>
      <c r="Q27" s="56">
        <f>YEAR(N27)</f>
        <v>2024</v>
      </c>
      <c r="R27" s="56" t="s">
        <v>26</v>
      </c>
      <c r="S27" s="56" t="s">
        <v>84</v>
      </c>
      <c r="T27" s="56"/>
      <c r="U27" s="58">
        <v>45411</v>
      </c>
      <c r="V27" s="56">
        <f ca="1">TODAY()-N27</f>
        <v>135</v>
      </c>
      <c r="W27" s="56">
        <f>N27-U27</f>
        <v>33</v>
      </c>
      <c r="X27" s="55">
        <f>ROUND(L27/K27, 2)</f>
        <v>2.23</v>
      </c>
    </row>
    <row r="28" spans="1:24" ht="15.75" customHeight="1">
      <c r="A28" s="56" t="s">
        <v>87</v>
      </c>
      <c r="B28" s="56" t="s">
        <v>20</v>
      </c>
      <c r="C28" s="60" t="s">
        <v>422</v>
      </c>
      <c r="D28" s="57">
        <v>1476299</v>
      </c>
      <c r="E28" s="57">
        <f>D28*5%</f>
        <v>73814.95</v>
      </c>
      <c r="F28" s="57">
        <v>20000</v>
      </c>
      <c r="G28" s="57">
        <f>SUM(D28:F28)</f>
        <v>1570113.95</v>
      </c>
      <c r="H28" s="57">
        <v>0</v>
      </c>
      <c r="I28" s="57">
        <f>SUM(G28:H28)</f>
        <v>1570113.95</v>
      </c>
      <c r="J28" s="57">
        <f>I28/K28</f>
        <v>1570113.95</v>
      </c>
      <c r="K28" s="56">
        <v>1</v>
      </c>
      <c r="L28" s="57">
        <v>1</v>
      </c>
      <c r="M28" s="56">
        <f>SUM(K28:L28)</f>
        <v>2</v>
      </c>
      <c r="N28" s="58">
        <v>45453</v>
      </c>
      <c r="O28" s="59">
        <v>45817</v>
      </c>
      <c r="P28" s="56" t="str">
        <f>TEXT(N28, "mmmm")</f>
        <v>June</v>
      </c>
      <c r="Q28" s="56">
        <f>YEAR(N28)</f>
        <v>2024</v>
      </c>
      <c r="R28" s="56" t="s">
        <v>26</v>
      </c>
      <c r="S28" s="56" t="s">
        <v>88</v>
      </c>
      <c r="T28" s="56"/>
      <c r="U28" s="58">
        <v>45436</v>
      </c>
      <c r="V28" s="56">
        <f ca="1">TODAY()-N28</f>
        <v>126</v>
      </c>
      <c r="W28" s="56">
        <f>N28-U28</f>
        <v>17</v>
      </c>
      <c r="X28" s="55">
        <f>ROUND(L28/K28, 2)</f>
        <v>1</v>
      </c>
    </row>
    <row r="29" spans="1:24" ht="15.75" customHeight="1">
      <c r="A29" s="56" t="s">
        <v>19</v>
      </c>
      <c r="B29" s="56" t="s">
        <v>20</v>
      </c>
      <c r="C29" s="60" t="s">
        <v>422</v>
      </c>
      <c r="D29" s="57">
        <v>1405258</v>
      </c>
      <c r="E29" s="57">
        <f>D29*5%</f>
        <v>70262.900000000009</v>
      </c>
      <c r="F29" s="57">
        <v>30000</v>
      </c>
      <c r="G29" s="57">
        <f>SUM(D29:F29)</f>
        <v>1505520.9</v>
      </c>
      <c r="H29" s="57">
        <v>0</v>
      </c>
      <c r="I29" s="57">
        <f>SUM(G29:H29)</f>
        <v>1505520.9</v>
      </c>
      <c r="J29" s="57">
        <f>I29/K29</f>
        <v>501840.3</v>
      </c>
      <c r="K29" s="56">
        <v>3</v>
      </c>
      <c r="L29" s="56">
        <v>0</v>
      </c>
      <c r="M29" s="56">
        <v>3</v>
      </c>
      <c r="N29" s="58">
        <v>45292</v>
      </c>
      <c r="O29" s="59" t="s">
        <v>21</v>
      </c>
      <c r="P29" s="56" t="str">
        <f>TEXT(N29, "mmmm")</f>
        <v>January</v>
      </c>
      <c r="Q29" s="56">
        <f>YEAR(N29)</f>
        <v>2024</v>
      </c>
      <c r="R29" s="56" t="s">
        <v>22</v>
      </c>
      <c r="S29" s="56" t="s">
        <v>22</v>
      </c>
      <c r="T29" s="56"/>
      <c r="U29" s="58">
        <v>45229</v>
      </c>
      <c r="V29" s="56">
        <f ca="1">TODAY()-N29</f>
        <v>287</v>
      </c>
      <c r="W29" s="56">
        <f>N29-U29</f>
        <v>63</v>
      </c>
      <c r="X29" s="55">
        <f>ROUND(L29/K29, 2)</f>
        <v>0</v>
      </c>
    </row>
    <row r="30" spans="1:24" ht="15.75" customHeight="1">
      <c r="A30" s="56" t="s">
        <v>23</v>
      </c>
      <c r="B30" s="56" t="s">
        <v>20</v>
      </c>
      <c r="C30" s="60" t="s">
        <v>422</v>
      </c>
      <c r="D30" s="57">
        <v>1699519</v>
      </c>
      <c r="E30" s="57">
        <f>D30*5%</f>
        <v>84975.950000000012</v>
      </c>
      <c r="F30" s="57">
        <v>40000</v>
      </c>
      <c r="G30" s="57">
        <f>SUM(D30:F30)</f>
        <v>1824494.95</v>
      </c>
      <c r="H30" s="57">
        <v>0</v>
      </c>
      <c r="I30" s="57">
        <f>SUM(G30:H30)</f>
        <v>1824494.95</v>
      </c>
      <c r="J30" s="57">
        <f>I30/K30</f>
        <v>1824494.95</v>
      </c>
      <c r="K30" s="56">
        <v>1</v>
      </c>
      <c r="L30" s="56">
        <v>3</v>
      </c>
      <c r="M30" s="56">
        <f>SUM(K30:L30)</f>
        <v>4</v>
      </c>
      <c r="N30" s="58">
        <v>45301</v>
      </c>
      <c r="O30" s="59">
        <v>45666</v>
      </c>
      <c r="P30" s="56" t="str">
        <f>TEXT(N30, "mmmm")</f>
        <v>January</v>
      </c>
      <c r="Q30" s="56">
        <f>YEAR(N30)</f>
        <v>2024</v>
      </c>
      <c r="R30" s="56" t="s">
        <v>22</v>
      </c>
      <c r="S30" s="56" t="s">
        <v>22</v>
      </c>
      <c r="T30" s="56"/>
      <c r="U30" s="58">
        <v>45273</v>
      </c>
      <c r="V30" s="56">
        <f ca="1">TODAY()-N30</f>
        <v>278</v>
      </c>
      <c r="W30" s="56">
        <f>N30-U30</f>
        <v>28</v>
      </c>
      <c r="X30" s="55">
        <f>ROUND(L30/K30, 2)</f>
        <v>3</v>
      </c>
    </row>
    <row r="31" spans="1:24" ht="15.75" customHeight="1">
      <c r="A31" s="56" t="s">
        <v>24</v>
      </c>
      <c r="B31" s="56" t="s">
        <v>20</v>
      </c>
      <c r="C31" s="60" t="s">
        <v>422</v>
      </c>
      <c r="D31" s="57">
        <f>943648+3328599</f>
        <v>4272247</v>
      </c>
      <c r="E31" s="57">
        <f>D31*5%</f>
        <v>213612.35</v>
      </c>
      <c r="F31" s="57">
        <v>140000</v>
      </c>
      <c r="G31" s="57">
        <f>SUM(D31:F31)</f>
        <v>4625859.3499999996</v>
      </c>
      <c r="H31" s="57">
        <v>0</v>
      </c>
      <c r="I31" s="57">
        <f>SUM(G31:H31)</f>
        <v>4625859.3499999996</v>
      </c>
      <c r="J31" s="57">
        <f>I31/K31</f>
        <v>578232.41874999995</v>
      </c>
      <c r="K31" s="56">
        <v>8</v>
      </c>
      <c r="L31" s="56">
        <v>2</v>
      </c>
      <c r="M31" s="56">
        <f>SUM(K31:L31)</f>
        <v>10</v>
      </c>
      <c r="N31" s="58">
        <v>45301</v>
      </c>
      <c r="O31" s="59">
        <v>45666</v>
      </c>
      <c r="P31" s="56" t="str">
        <f>TEXT(N31, "mmmm")</f>
        <v>January</v>
      </c>
      <c r="Q31" s="56">
        <f>YEAR(N31)</f>
        <v>2024</v>
      </c>
      <c r="R31" s="56" t="s">
        <v>22</v>
      </c>
      <c r="S31" s="56" t="s">
        <v>22</v>
      </c>
      <c r="T31" s="56"/>
      <c r="U31" s="58">
        <v>45280</v>
      </c>
      <c r="V31" s="56">
        <f ca="1">TODAY()-N31</f>
        <v>278</v>
      </c>
      <c r="W31" s="56">
        <f>N31-U31</f>
        <v>21</v>
      </c>
      <c r="X31" s="55">
        <f>ROUND(L31/K31, 2)</f>
        <v>0.25</v>
      </c>
    </row>
    <row r="32" spans="1:24" ht="15.75" customHeight="1">
      <c r="A32" s="56" t="s">
        <v>28</v>
      </c>
      <c r="B32" s="56" t="s">
        <v>20</v>
      </c>
      <c r="C32" s="60" t="s">
        <v>422</v>
      </c>
      <c r="D32" s="57">
        <v>2731792</v>
      </c>
      <c r="E32" s="57">
        <f>D32*5%</f>
        <v>136589.6</v>
      </c>
      <c r="F32" s="57">
        <v>50000</v>
      </c>
      <c r="G32" s="57">
        <f>SUM(D32:F32)</f>
        <v>2918381.6</v>
      </c>
      <c r="H32" s="57">
        <v>0</v>
      </c>
      <c r="I32" s="57">
        <f>SUM(G32:H32)</f>
        <v>2918381.6</v>
      </c>
      <c r="J32" s="57">
        <f>I32/K32</f>
        <v>2918381.6</v>
      </c>
      <c r="K32" s="56">
        <v>1</v>
      </c>
      <c r="L32" s="56">
        <v>4</v>
      </c>
      <c r="M32" s="56">
        <f>SUM(K32:L32)</f>
        <v>5</v>
      </c>
      <c r="N32" s="58">
        <v>45304</v>
      </c>
      <c r="O32" s="59">
        <v>45669</v>
      </c>
      <c r="P32" s="56" t="str">
        <f>TEXT(N32, "mmmm")</f>
        <v>January</v>
      </c>
      <c r="Q32" s="56">
        <f>YEAR(N32)</f>
        <v>2024</v>
      </c>
      <c r="R32" s="56" t="s">
        <v>22</v>
      </c>
      <c r="S32" s="61" t="s">
        <v>22</v>
      </c>
      <c r="T32" s="61"/>
      <c r="U32" s="58">
        <v>45287</v>
      </c>
      <c r="V32" s="56">
        <f ca="1">TODAY()-N32</f>
        <v>275</v>
      </c>
      <c r="W32" s="56">
        <f>N32-U32</f>
        <v>17</v>
      </c>
      <c r="X32" s="55">
        <f>ROUND(L32/K32, 2)</f>
        <v>4</v>
      </c>
    </row>
    <row r="33" spans="1:29" ht="15.75" customHeight="1">
      <c r="A33" s="56" t="s">
        <v>37</v>
      </c>
      <c r="B33" s="56" t="s">
        <v>38</v>
      </c>
      <c r="C33" s="60" t="s">
        <v>422</v>
      </c>
      <c r="D33" s="57">
        <f>2713988+6580490</f>
        <v>9294478</v>
      </c>
      <c r="E33" s="57">
        <f>D33*5%</f>
        <v>464723.9</v>
      </c>
      <c r="F33" s="57">
        <f>260000+600000</f>
        <v>860000</v>
      </c>
      <c r="G33" s="57">
        <f>SUM(D33:F33)</f>
        <v>10619201.9</v>
      </c>
      <c r="H33" s="57">
        <f>4613600+5416000</f>
        <v>10029600</v>
      </c>
      <c r="I33" s="57">
        <f>SUM(G33:H33)</f>
        <v>20648801.899999999</v>
      </c>
      <c r="J33" s="57">
        <f>I33/K33</f>
        <v>135847.38092105262</v>
      </c>
      <c r="K33" s="56">
        <f>32+120</f>
        <v>152</v>
      </c>
      <c r="L33" s="56">
        <v>0</v>
      </c>
      <c r="M33" s="56">
        <f>SUM(K33:L33)</f>
        <v>152</v>
      </c>
      <c r="N33" s="58">
        <v>45331</v>
      </c>
      <c r="O33" s="59">
        <v>45696</v>
      </c>
      <c r="P33" s="56" t="str">
        <f>TEXT(N33, "mmmm")</f>
        <v>February</v>
      </c>
      <c r="Q33" s="56">
        <f>YEAR(N33)</f>
        <v>2024</v>
      </c>
      <c r="R33" s="56" t="s">
        <v>22</v>
      </c>
      <c r="S33" s="56" t="s">
        <v>22</v>
      </c>
      <c r="T33" s="56"/>
      <c r="U33" s="58">
        <v>45244</v>
      </c>
      <c r="V33" s="56">
        <f ca="1">TODAY()-N33</f>
        <v>248</v>
      </c>
      <c r="W33" s="56">
        <f>N33-U33</f>
        <v>87</v>
      </c>
      <c r="X33" s="55">
        <f>ROUND(L33/K33, 2)</f>
        <v>0</v>
      </c>
    </row>
    <row r="34" spans="1:29" ht="15.75" customHeight="1">
      <c r="A34" s="56" t="s">
        <v>42</v>
      </c>
      <c r="B34" s="56" t="s">
        <v>20</v>
      </c>
      <c r="C34" s="60" t="s">
        <v>422</v>
      </c>
      <c r="D34" s="57">
        <v>673775</v>
      </c>
      <c r="E34" s="57">
        <f>D34*5%</f>
        <v>33688.75</v>
      </c>
      <c r="F34" s="57">
        <v>10000</v>
      </c>
      <c r="G34" s="57">
        <f>SUM(D34:F34)</f>
        <v>717463.75</v>
      </c>
      <c r="H34" s="57">
        <v>0</v>
      </c>
      <c r="I34" s="57">
        <f>SUM(G34:H34)</f>
        <v>717463.75</v>
      </c>
      <c r="J34" s="57">
        <f>I34/K34</f>
        <v>717463.75</v>
      </c>
      <c r="K34" s="56">
        <v>1</v>
      </c>
      <c r="L34" s="56">
        <v>0</v>
      </c>
      <c r="M34" s="56">
        <f>SUM(K34:L34)</f>
        <v>1</v>
      </c>
      <c r="N34" s="58">
        <v>45337</v>
      </c>
      <c r="O34" s="59">
        <v>45702</v>
      </c>
      <c r="P34" s="56" t="str">
        <f>TEXT(N34, "mmmm")</f>
        <v>February</v>
      </c>
      <c r="Q34" s="56">
        <f>YEAR(N34)</f>
        <v>2024</v>
      </c>
      <c r="R34" s="56" t="s">
        <v>22</v>
      </c>
      <c r="S34" s="56" t="s">
        <v>22</v>
      </c>
      <c r="T34" s="56"/>
      <c r="U34" s="58">
        <v>45209</v>
      </c>
      <c r="V34" s="56">
        <f ca="1">TODAY()-N34</f>
        <v>242</v>
      </c>
      <c r="W34" s="56">
        <f>N34-U34</f>
        <v>128</v>
      </c>
      <c r="X34" s="55">
        <f>ROUND(L34/K34, 2)</f>
        <v>0</v>
      </c>
    </row>
    <row r="35" spans="1:29" ht="15.75" customHeight="1">
      <c r="A35" s="56" t="s">
        <v>44</v>
      </c>
      <c r="B35" s="56" t="s">
        <v>20</v>
      </c>
      <c r="C35" s="60" t="s">
        <v>422</v>
      </c>
      <c r="D35" s="57">
        <v>379939</v>
      </c>
      <c r="E35" s="57">
        <f>D35*5%</f>
        <v>18996.95</v>
      </c>
      <c r="F35" s="57">
        <v>10000</v>
      </c>
      <c r="G35" s="57">
        <f>SUM(D35:F35)</f>
        <v>408935.95</v>
      </c>
      <c r="H35" s="57">
        <v>0</v>
      </c>
      <c r="I35" s="57">
        <f>SUM(G35:H35)</f>
        <v>408935.95</v>
      </c>
      <c r="J35" s="57">
        <f>I35/K35</f>
        <v>408935.95</v>
      </c>
      <c r="K35" s="56">
        <v>1</v>
      </c>
      <c r="L35" s="56">
        <v>0</v>
      </c>
      <c r="M35" s="56">
        <f>SUM(K35:L35)</f>
        <v>1</v>
      </c>
      <c r="N35" s="58">
        <v>45356</v>
      </c>
      <c r="O35" s="59">
        <v>45720</v>
      </c>
      <c r="P35" s="56" t="str">
        <f>TEXT(N35, "mmmm")</f>
        <v>March</v>
      </c>
      <c r="Q35" s="56">
        <f>YEAR(N35)</f>
        <v>2024</v>
      </c>
      <c r="R35" s="56" t="s">
        <v>22</v>
      </c>
      <c r="S35" s="56" t="s">
        <v>22</v>
      </c>
      <c r="T35" s="56"/>
      <c r="U35" s="58">
        <v>45356</v>
      </c>
      <c r="V35" s="56">
        <f ca="1">TODAY()-N35</f>
        <v>223</v>
      </c>
      <c r="W35" s="56">
        <f>N35-U35</f>
        <v>0</v>
      </c>
      <c r="X35" s="55">
        <f>ROUND(L35/K35, 2)</f>
        <v>0</v>
      </c>
    </row>
    <row r="36" spans="1:29" ht="15.75" customHeight="1">
      <c r="A36" s="56" t="s">
        <v>49</v>
      </c>
      <c r="B36" s="56" t="s">
        <v>38</v>
      </c>
      <c r="C36" s="60" t="s">
        <v>422</v>
      </c>
      <c r="D36" s="57">
        <v>4210083</v>
      </c>
      <c r="E36" s="57">
        <f>D36*5%</f>
        <v>210504.15000000002</v>
      </c>
      <c r="F36" s="57">
        <v>265000</v>
      </c>
      <c r="G36" s="57">
        <f>SUM(D36:F36)</f>
        <v>4685587.1500000004</v>
      </c>
      <c r="H36" s="57">
        <f>8867296+2280000+410400</f>
        <v>11557696</v>
      </c>
      <c r="I36" s="57">
        <f>SUM(G36:H36)</f>
        <v>16243283.15</v>
      </c>
      <c r="J36" s="57">
        <f>I36/K36</f>
        <v>324865.663</v>
      </c>
      <c r="K36" s="56">
        <v>50</v>
      </c>
      <c r="L36" s="56">
        <v>100</v>
      </c>
      <c r="M36" s="56">
        <f>SUM(K36:L36)</f>
        <v>150</v>
      </c>
      <c r="N36" s="58">
        <v>45363</v>
      </c>
      <c r="O36" s="59">
        <v>45727</v>
      </c>
      <c r="P36" s="56" t="str">
        <f>TEXT(N36, "mmmm")</f>
        <v>March</v>
      </c>
      <c r="Q36" s="56">
        <f>YEAR(N36)</f>
        <v>2024</v>
      </c>
      <c r="R36" s="56" t="s">
        <v>22</v>
      </c>
      <c r="S36" s="56" t="s">
        <v>22</v>
      </c>
      <c r="T36" s="56"/>
      <c r="U36" s="58">
        <v>45327</v>
      </c>
      <c r="V36" s="56">
        <f ca="1">TODAY()-N36</f>
        <v>216</v>
      </c>
      <c r="W36" s="56">
        <f>N36-U36</f>
        <v>36</v>
      </c>
      <c r="X36" s="55">
        <f>ROUND(L36/K36, 2)</f>
        <v>2</v>
      </c>
    </row>
    <row r="37" spans="1:29" ht="15.75" customHeight="1">
      <c r="A37" s="56" t="s">
        <v>50</v>
      </c>
      <c r="B37" s="56" t="s">
        <v>20</v>
      </c>
      <c r="C37" s="60" t="s">
        <v>422</v>
      </c>
      <c r="D37" s="57">
        <v>595144</v>
      </c>
      <c r="E37" s="57">
        <f>D37*5%</f>
        <v>29757.200000000001</v>
      </c>
      <c r="F37" s="57">
        <v>10000</v>
      </c>
      <c r="G37" s="57">
        <f>SUM(D37:F37)</f>
        <v>634901.19999999995</v>
      </c>
      <c r="H37" s="57">
        <v>0</v>
      </c>
      <c r="I37" s="57">
        <f>SUM(G37:H37)</f>
        <v>634901.19999999995</v>
      </c>
      <c r="J37" s="57">
        <f>I37/K37</f>
        <v>634901.19999999995</v>
      </c>
      <c r="K37" s="56">
        <v>1</v>
      </c>
      <c r="L37" s="56">
        <v>0</v>
      </c>
      <c r="M37" s="56">
        <f>SUM(K37:L37)</f>
        <v>1</v>
      </c>
      <c r="N37" s="58">
        <v>45365</v>
      </c>
      <c r="O37" s="59">
        <v>45728</v>
      </c>
      <c r="P37" s="56" t="str">
        <f>TEXT(N37, "mmmm")</f>
        <v>March</v>
      </c>
      <c r="Q37" s="56">
        <f>YEAR(N37)</f>
        <v>2024</v>
      </c>
      <c r="R37" s="56" t="s">
        <v>22</v>
      </c>
      <c r="S37" s="56" t="s">
        <v>22</v>
      </c>
      <c r="T37" s="56"/>
      <c r="U37" s="58">
        <v>45365</v>
      </c>
      <c r="V37" s="56">
        <f ca="1">TODAY()-N37</f>
        <v>214</v>
      </c>
      <c r="W37" s="56">
        <f>N37-U37</f>
        <v>0</v>
      </c>
      <c r="X37" s="55">
        <f>ROUND(L37/K37, 2)</f>
        <v>0</v>
      </c>
    </row>
    <row r="38" spans="1:29" ht="15.75" customHeight="1">
      <c r="A38" s="56" t="s">
        <v>56</v>
      </c>
      <c r="B38" s="56" t="s">
        <v>40</v>
      </c>
      <c r="C38" s="47" t="s">
        <v>421</v>
      </c>
      <c r="D38" s="57">
        <v>3790302</v>
      </c>
      <c r="E38" s="57">
        <f>D38*5%</f>
        <v>189515.1</v>
      </c>
      <c r="F38" s="57">
        <v>70000</v>
      </c>
      <c r="G38" s="57">
        <f>SUM(D38:F38)</f>
        <v>4049817.1</v>
      </c>
      <c r="H38" s="57">
        <v>0</v>
      </c>
      <c r="I38" s="57">
        <f>SUM(G38:H38)</f>
        <v>4049817.1</v>
      </c>
      <c r="J38" s="57">
        <f>I38/K38</f>
        <v>1012454.275</v>
      </c>
      <c r="K38" s="56">
        <v>4</v>
      </c>
      <c r="L38" s="56">
        <v>3</v>
      </c>
      <c r="M38" s="56">
        <f>SUM(K38:L38)</f>
        <v>7</v>
      </c>
      <c r="N38" s="58">
        <v>45379</v>
      </c>
      <c r="O38" s="59">
        <v>45743</v>
      </c>
      <c r="P38" s="56" t="str">
        <f>TEXT(N38, "mmmm")</f>
        <v>March</v>
      </c>
      <c r="Q38" s="56">
        <f>YEAR(N38)</f>
        <v>2024</v>
      </c>
      <c r="R38" s="56" t="s">
        <v>22</v>
      </c>
      <c r="S38" s="56" t="s">
        <v>22</v>
      </c>
      <c r="T38" s="56"/>
      <c r="U38" s="58"/>
      <c r="V38" s="56">
        <f ca="1">TODAY()-N38</f>
        <v>200</v>
      </c>
      <c r="W38" s="56"/>
      <c r="X38" s="55">
        <f>ROUND(L38/K38, 2)</f>
        <v>0.75</v>
      </c>
    </row>
    <row r="39" spans="1:29" ht="15.75" customHeight="1">
      <c r="A39" s="56" t="s">
        <v>61</v>
      </c>
      <c r="B39" s="56" t="s">
        <v>20</v>
      </c>
      <c r="C39" s="60" t="s">
        <v>422</v>
      </c>
      <c r="D39" s="57">
        <v>1766317</v>
      </c>
      <c r="E39" s="57">
        <f>D39*5%</f>
        <v>88315.85</v>
      </c>
      <c r="F39" s="57">
        <v>30000</v>
      </c>
      <c r="G39" s="57">
        <f>SUM(D39:F39)</f>
        <v>1884632.85</v>
      </c>
      <c r="H39" s="57">
        <v>0</v>
      </c>
      <c r="I39" s="57">
        <f>SUM(G39:H39)</f>
        <v>1884632.85</v>
      </c>
      <c r="J39" s="57">
        <f>I39/K39</f>
        <v>628210.95000000007</v>
      </c>
      <c r="K39" s="56">
        <v>3</v>
      </c>
      <c r="L39" s="56">
        <v>0</v>
      </c>
      <c r="M39" s="56">
        <f>SUM(K39:L39)</f>
        <v>3</v>
      </c>
      <c r="N39" s="58">
        <v>45394</v>
      </c>
      <c r="O39" s="59">
        <v>45758</v>
      </c>
      <c r="P39" s="56" t="str">
        <f>TEXT(N39, "mmmm")</f>
        <v>April</v>
      </c>
      <c r="Q39" s="56">
        <f>YEAR(N39)</f>
        <v>2024</v>
      </c>
      <c r="R39" s="56" t="s">
        <v>22</v>
      </c>
      <c r="S39" s="56" t="s">
        <v>22</v>
      </c>
      <c r="T39" s="56"/>
      <c r="U39" s="58">
        <v>45394</v>
      </c>
      <c r="V39" s="56">
        <f ca="1">TODAY()-N39</f>
        <v>185</v>
      </c>
      <c r="W39" s="56">
        <f>N39-U39</f>
        <v>0</v>
      </c>
      <c r="X39" s="55">
        <f>ROUND(L39/K39, 2)</f>
        <v>0</v>
      </c>
    </row>
    <row r="40" spans="1:29" ht="15.75" customHeight="1">
      <c r="A40" s="56" t="s">
        <v>76</v>
      </c>
      <c r="B40" s="56" t="s">
        <v>20</v>
      </c>
      <c r="C40" s="60" t="s">
        <v>422</v>
      </c>
      <c r="D40" s="57">
        <v>510698</v>
      </c>
      <c r="E40" s="57">
        <f>D40*5%</f>
        <v>25534.9</v>
      </c>
      <c r="F40" s="57">
        <v>10000</v>
      </c>
      <c r="G40" s="57">
        <f>SUM(D40:F40)</f>
        <v>546232.9</v>
      </c>
      <c r="H40" s="57">
        <v>0</v>
      </c>
      <c r="I40" s="57">
        <f>SUM(G40:H40)</f>
        <v>546232.9</v>
      </c>
      <c r="J40" s="57">
        <f>I40/K40</f>
        <v>546232.9</v>
      </c>
      <c r="K40" s="56">
        <v>1</v>
      </c>
      <c r="L40" s="56">
        <v>0</v>
      </c>
      <c r="M40" s="56">
        <f>SUM(K40:L40)</f>
        <v>1</v>
      </c>
      <c r="N40" s="58">
        <v>45432</v>
      </c>
      <c r="O40" s="59">
        <v>45796</v>
      </c>
      <c r="P40" s="56" t="str">
        <f>TEXT(N40, "mmmm")</f>
        <v>May</v>
      </c>
      <c r="Q40" s="56">
        <f>YEAR(N40)</f>
        <v>2024</v>
      </c>
      <c r="R40" s="56" t="s">
        <v>22</v>
      </c>
      <c r="S40" s="56" t="s">
        <v>22</v>
      </c>
      <c r="T40" s="56"/>
      <c r="U40" s="58">
        <v>45430</v>
      </c>
      <c r="V40" s="56">
        <f ca="1">TODAY()-N40</f>
        <v>147</v>
      </c>
      <c r="W40" s="56">
        <f>N40-U40</f>
        <v>2</v>
      </c>
      <c r="X40" s="55">
        <f>ROUND(L40/K40, 2)</f>
        <v>0</v>
      </c>
    </row>
    <row r="41" spans="1:29" ht="15.75" customHeight="1">
      <c r="A41" s="56" t="s">
        <v>79</v>
      </c>
      <c r="B41" s="56" t="s">
        <v>20</v>
      </c>
      <c r="C41" s="60" t="s">
        <v>422</v>
      </c>
      <c r="D41" s="57">
        <v>727401</v>
      </c>
      <c r="E41" s="57">
        <f>D41*5%</f>
        <v>36370.050000000003</v>
      </c>
      <c r="F41" s="57">
        <v>10000</v>
      </c>
      <c r="G41" s="57">
        <f>SUM(D41:F41)</f>
        <v>773771.05</v>
      </c>
      <c r="H41" s="57">
        <v>0</v>
      </c>
      <c r="I41" s="57">
        <f>SUM(G41:H41)</f>
        <v>773771.05</v>
      </c>
      <c r="J41" s="57">
        <f>I41/K41</f>
        <v>773771.05</v>
      </c>
      <c r="K41" s="56">
        <v>1</v>
      </c>
      <c r="L41" s="56">
        <v>0</v>
      </c>
      <c r="M41" s="56">
        <f>SUM(K41:L41)</f>
        <v>1</v>
      </c>
      <c r="N41" s="58">
        <v>45435</v>
      </c>
      <c r="O41" s="59">
        <v>45799</v>
      </c>
      <c r="P41" s="56" t="str">
        <f>TEXT(N41, "mmmm")</f>
        <v>May</v>
      </c>
      <c r="Q41" s="56">
        <f>YEAR(N41)</f>
        <v>2024</v>
      </c>
      <c r="R41" s="56" t="s">
        <v>22</v>
      </c>
      <c r="S41" s="56" t="s">
        <v>22</v>
      </c>
      <c r="T41" s="56"/>
      <c r="U41" s="58">
        <v>45435</v>
      </c>
      <c r="V41" s="56">
        <f ca="1">TODAY()-N41</f>
        <v>144</v>
      </c>
      <c r="W41" s="56">
        <f>N41-U41</f>
        <v>0</v>
      </c>
      <c r="X41" s="55">
        <f>ROUND(L41/K41, 2)</f>
        <v>0</v>
      </c>
      <c r="Y41" s="10"/>
      <c r="Z41" s="10"/>
      <c r="AA41" s="10"/>
      <c r="AB41" s="10"/>
      <c r="AC41" s="10"/>
    </row>
    <row r="42" spans="1:29" ht="15.75" customHeight="1">
      <c r="A42" s="56" t="s">
        <v>82</v>
      </c>
      <c r="B42" s="56" t="s">
        <v>20</v>
      </c>
      <c r="C42" s="60" t="s">
        <v>422</v>
      </c>
      <c r="D42" s="57">
        <v>11530052</v>
      </c>
      <c r="E42" s="57">
        <f>D42*5%</f>
        <v>576502.6</v>
      </c>
      <c r="F42" s="57">
        <v>170000</v>
      </c>
      <c r="G42" s="57">
        <f>SUM(D42:F42)</f>
        <v>12276554.6</v>
      </c>
      <c r="H42" s="57">
        <v>0</v>
      </c>
      <c r="I42" s="57">
        <f>SUM(G42:H42)</f>
        <v>12276554.6</v>
      </c>
      <c r="J42" s="57">
        <f>I42/K42</f>
        <v>876896.75714285707</v>
      </c>
      <c r="K42" s="56">
        <v>14</v>
      </c>
      <c r="L42" s="56">
        <v>3</v>
      </c>
      <c r="M42" s="56">
        <f>SUM(K42:L42)</f>
        <v>17</v>
      </c>
      <c r="N42" s="58">
        <v>45444</v>
      </c>
      <c r="O42" s="59">
        <v>45808</v>
      </c>
      <c r="P42" s="56" t="str">
        <f>TEXT(N42, "mmmm")</f>
        <v>June</v>
      </c>
      <c r="Q42" s="56">
        <f>YEAR(N42)</f>
        <v>2024</v>
      </c>
      <c r="R42" s="56" t="s">
        <v>22</v>
      </c>
      <c r="S42" s="56" t="s">
        <v>22</v>
      </c>
      <c r="T42" s="56"/>
      <c r="U42" s="58">
        <v>45429</v>
      </c>
      <c r="V42" s="56">
        <f ca="1">TODAY()-N42</f>
        <v>135</v>
      </c>
      <c r="W42" s="56">
        <f>N42-U42</f>
        <v>15</v>
      </c>
      <c r="X42" s="55">
        <f>ROUND(L42/K42, 2)</f>
        <v>0.21</v>
      </c>
    </row>
    <row r="43" spans="1:29" ht="15.75" customHeight="1">
      <c r="A43" s="56" t="s">
        <v>89</v>
      </c>
      <c r="B43" s="56" t="s">
        <v>20</v>
      </c>
      <c r="C43" s="60" t="s">
        <v>422</v>
      </c>
      <c r="D43" s="57">
        <v>1240172</v>
      </c>
      <c r="E43" s="57">
        <f>D43*5%</f>
        <v>62008.600000000006</v>
      </c>
      <c r="F43" s="57">
        <v>20000</v>
      </c>
      <c r="G43" s="57">
        <f>SUM(D43:F43)</f>
        <v>1322180.6000000001</v>
      </c>
      <c r="H43" s="57">
        <v>0</v>
      </c>
      <c r="I43" s="57">
        <f>SUM(G43:H43)</f>
        <v>1322180.6000000001</v>
      </c>
      <c r="J43" s="57">
        <f>I43/K43</f>
        <v>661090.30000000005</v>
      </c>
      <c r="K43" s="56">
        <v>2</v>
      </c>
      <c r="L43" s="57">
        <v>0</v>
      </c>
      <c r="M43" s="56">
        <f>SUM(K43:L43)</f>
        <v>2</v>
      </c>
      <c r="N43" s="58">
        <v>45455</v>
      </c>
      <c r="O43" s="59">
        <v>45819</v>
      </c>
      <c r="P43" s="56" t="str">
        <f>TEXT(N43, "mmmm")</f>
        <v>June</v>
      </c>
      <c r="Q43" s="56">
        <f>YEAR(N43)</f>
        <v>2024</v>
      </c>
      <c r="R43" s="56" t="s">
        <v>22</v>
      </c>
      <c r="S43" s="56" t="s">
        <v>22</v>
      </c>
      <c r="T43" s="56"/>
      <c r="U43" s="58">
        <v>45414</v>
      </c>
      <c r="V43" s="56">
        <f ca="1">TODAY()-N43</f>
        <v>124</v>
      </c>
      <c r="W43" s="56">
        <f>N43-U43</f>
        <v>41</v>
      </c>
      <c r="X43" s="55">
        <f>ROUND(L43/K43, 2)</f>
        <v>0</v>
      </c>
    </row>
    <row r="44" spans="1:29" ht="15.75" customHeight="1">
      <c r="A44" s="56" t="s">
        <v>90</v>
      </c>
      <c r="B44" s="56" t="s">
        <v>20</v>
      </c>
      <c r="C44" s="60" t="s">
        <v>422</v>
      </c>
      <c r="D44" s="57">
        <v>2839401</v>
      </c>
      <c r="E44" s="57">
        <f>D44*5%</f>
        <v>141970.05000000002</v>
      </c>
      <c r="F44" s="57">
        <v>50000</v>
      </c>
      <c r="G44" s="57">
        <f>SUM(D44:F44)</f>
        <v>3031371.05</v>
      </c>
      <c r="H44" s="57">
        <v>0</v>
      </c>
      <c r="I44" s="57">
        <f>SUM(G44:H44)</f>
        <v>3031371.05</v>
      </c>
      <c r="J44" s="57">
        <f>I44/K44</f>
        <v>3031371.05</v>
      </c>
      <c r="K44" s="56">
        <v>1</v>
      </c>
      <c r="L44" s="57">
        <v>4</v>
      </c>
      <c r="M44" s="56">
        <f>SUM(K44:L44)</f>
        <v>5</v>
      </c>
      <c r="N44" s="58">
        <v>45455</v>
      </c>
      <c r="O44" s="59">
        <v>45835</v>
      </c>
      <c r="P44" s="56" t="str">
        <f>TEXT(N44, "mmmm")</f>
        <v>June</v>
      </c>
      <c r="Q44" s="56">
        <f>YEAR(N44)</f>
        <v>2024</v>
      </c>
      <c r="R44" s="56" t="s">
        <v>22</v>
      </c>
      <c r="S44" s="56" t="s">
        <v>22</v>
      </c>
      <c r="T44" s="56"/>
      <c r="U44" s="58">
        <v>45405</v>
      </c>
      <c r="V44" s="56">
        <f ca="1">TODAY()-N44</f>
        <v>124</v>
      </c>
      <c r="W44" s="56">
        <f>N44-U44</f>
        <v>50</v>
      </c>
      <c r="X44" s="55">
        <f>ROUND(L44/K44, 2)</f>
        <v>4</v>
      </c>
    </row>
    <row r="45" spans="1:29" ht="15.75" customHeight="1">
      <c r="A45" s="56" t="s">
        <v>91</v>
      </c>
      <c r="B45" s="56" t="s">
        <v>20</v>
      </c>
      <c r="C45" s="60" t="s">
        <v>422</v>
      </c>
      <c r="D45" s="57">
        <v>456030</v>
      </c>
      <c r="E45" s="57">
        <f>D45*5%</f>
        <v>22801.5</v>
      </c>
      <c r="F45" s="57">
        <v>10000</v>
      </c>
      <c r="G45" s="57">
        <f>SUM(D45:F45)</f>
        <v>488831.5</v>
      </c>
      <c r="H45" s="57">
        <v>0</v>
      </c>
      <c r="I45" s="57">
        <f>SUM(G45:H45)</f>
        <v>488831.5</v>
      </c>
      <c r="J45" s="57">
        <f>I45/K45</f>
        <v>488831.5</v>
      </c>
      <c r="K45" s="56">
        <v>1</v>
      </c>
      <c r="L45" s="57">
        <v>0</v>
      </c>
      <c r="M45" s="56">
        <f>SUM(K45:L45)</f>
        <v>1</v>
      </c>
      <c r="N45" s="58">
        <v>45455</v>
      </c>
      <c r="O45" s="59">
        <v>45835</v>
      </c>
      <c r="P45" s="56" t="str">
        <f>TEXT(N45, "mmmm")</f>
        <v>June</v>
      </c>
      <c r="Q45" s="56">
        <f>YEAR(N45)</f>
        <v>2024</v>
      </c>
      <c r="R45" s="56" t="s">
        <v>22</v>
      </c>
      <c r="S45" s="56" t="s">
        <v>22</v>
      </c>
      <c r="T45" s="56"/>
      <c r="U45" s="58">
        <v>45448</v>
      </c>
      <c r="V45" s="56">
        <f ca="1">TODAY()-N45</f>
        <v>124</v>
      </c>
      <c r="W45" s="56">
        <f>N45-U45</f>
        <v>7</v>
      </c>
      <c r="X45" s="55">
        <f>ROUND(L45/K45, 2)</f>
        <v>0</v>
      </c>
    </row>
    <row r="46" spans="1:29" ht="15.75" customHeight="1">
      <c r="A46" s="56" t="s">
        <v>93</v>
      </c>
      <c r="B46" s="56" t="s">
        <v>20</v>
      </c>
      <c r="C46" s="60" t="s">
        <v>422</v>
      </c>
      <c r="D46" s="57">
        <v>510698</v>
      </c>
      <c r="E46" s="57">
        <f>D46*5%</f>
        <v>25534.9</v>
      </c>
      <c r="F46" s="57">
        <v>10000</v>
      </c>
      <c r="G46" s="57">
        <f>SUM(D46:F46)</f>
        <v>546232.9</v>
      </c>
      <c r="H46" s="57">
        <v>0</v>
      </c>
      <c r="I46" s="57">
        <f>SUM(G46:H46)</f>
        <v>546232.9</v>
      </c>
      <c r="J46" s="57">
        <f>I46/K46</f>
        <v>546232.9</v>
      </c>
      <c r="K46" s="56">
        <v>1</v>
      </c>
      <c r="L46" s="57">
        <v>0</v>
      </c>
      <c r="M46" s="56">
        <f>SUM(K46:L46)</f>
        <v>1</v>
      </c>
      <c r="N46" s="58">
        <v>45456</v>
      </c>
      <c r="O46" s="59">
        <v>45820</v>
      </c>
      <c r="P46" s="56" t="str">
        <f>TEXT(N46, "mmmm")</f>
        <v>June</v>
      </c>
      <c r="Q46" s="56">
        <f>YEAR(N46)</f>
        <v>2024</v>
      </c>
      <c r="R46" s="56" t="s">
        <v>22</v>
      </c>
      <c r="S46" s="56" t="s">
        <v>22</v>
      </c>
      <c r="T46" s="56"/>
      <c r="U46" s="58">
        <v>45455</v>
      </c>
      <c r="V46" s="56">
        <f ca="1">TODAY()-N46</f>
        <v>123</v>
      </c>
      <c r="W46" s="56">
        <f>N46-U46</f>
        <v>1</v>
      </c>
      <c r="X46" s="55">
        <f>ROUND(L46/K46, 2)</f>
        <v>0</v>
      </c>
    </row>
    <row r="47" spans="1:29" ht="15.75" customHeight="1">
      <c r="A47" s="56" t="s">
        <v>94</v>
      </c>
      <c r="B47" s="56" t="s">
        <v>20</v>
      </c>
      <c r="C47" s="60" t="s">
        <v>422</v>
      </c>
      <c r="D47" s="57">
        <v>1499117</v>
      </c>
      <c r="E47" s="57">
        <f>D47*5%</f>
        <v>74955.850000000006</v>
      </c>
      <c r="F47" s="57">
        <v>30000</v>
      </c>
      <c r="G47" s="57">
        <f>SUM(D47:F47)</f>
        <v>1604072.85</v>
      </c>
      <c r="H47" s="57">
        <v>0</v>
      </c>
      <c r="I47" s="57">
        <f>SUM(G47:H47)</f>
        <v>1604072.85</v>
      </c>
      <c r="J47" s="57">
        <f>I47/K47</f>
        <v>1604072.85</v>
      </c>
      <c r="K47" s="56">
        <v>1</v>
      </c>
      <c r="L47" s="57">
        <v>2</v>
      </c>
      <c r="M47" s="56">
        <f>SUM(K47:L47)</f>
        <v>3</v>
      </c>
      <c r="N47" s="58">
        <v>45456</v>
      </c>
      <c r="O47" s="59">
        <v>45820</v>
      </c>
      <c r="P47" s="56" t="str">
        <f>TEXT(N47, "mmmm")</f>
        <v>June</v>
      </c>
      <c r="Q47" s="56">
        <f>YEAR(N47)</f>
        <v>2024</v>
      </c>
      <c r="R47" s="56" t="s">
        <v>22</v>
      </c>
      <c r="S47" s="56" t="s">
        <v>22</v>
      </c>
      <c r="T47" s="56"/>
      <c r="U47" s="58">
        <v>45453</v>
      </c>
      <c r="V47" s="56">
        <f ca="1">TODAY()-N47</f>
        <v>123</v>
      </c>
      <c r="W47" s="56">
        <f>N47-U47</f>
        <v>3</v>
      </c>
      <c r="X47" s="55">
        <f>ROUND(L47/K47, 2)</f>
        <v>2</v>
      </c>
    </row>
    <row r="48" spans="1:29" ht="15.75" customHeight="1">
      <c r="A48" s="56" t="s">
        <v>95</v>
      </c>
      <c r="B48" s="56" t="s">
        <v>20</v>
      </c>
      <c r="C48" s="60" t="s">
        <v>422</v>
      </c>
      <c r="D48" s="57">
        <v>1321000</v>
      </c>
      <c r="E48" s="57">
        <f>D48*5%</f>
        <v>66050</v>
      </c>
      <c r="F48" s="57">
        <v>30000</v>
      </c>
      <c r="G48" s="57">
        <f>SUM(D48:F48)</f>
        <v>1417050</v>
      </c>
      <c r="H48" s="57">
        <v>0</v>
      </c>
      <c r="I48" s="57">
        <f>SUM(G48:H48)</f>
        <v>1417050</v>
      </c>
      <c r="J48" s="57">
        <f>I48/K48</f>
        <v>1417050</v>
      </c>
      <c r="K48" s="56">
        <v>1</v>
      </c>
      <c r="L48" s="57">
        <v>2</v>
      </c>
      <c r="M48" s="56">
        <f>SUM(K48:L48)</f>
        <v>3</v>
      </c>
      <c r="N48" s="58">
        <v>45462</v>
      </c>
      <c r="O48" s="59">
        <v>45826</v>
      </c>
      <c r="P48" s="56" t="str">
        <f>TEXT(N48, "mmmm")</f>
        <v>June</v>
      </c>
      <c r="Q48" s="56">
        <f>YEAR(N48)</f>
        <v>2024</v>
      </c>
      <c r="R48" s="56" t="s">
        <v>22</v>
      </c>
      <c r="S48" s="56" t="s">
        <v>22</v>
      </c>
      <c r="T48" s="56"/>
      <c r="U48" s="58">
        <v>45457</v>
      </c>
      <c r="V48" s="56">
        <f ca="1">TODAY()-N48</f>
        <v>117</v>
      </c>
      <c r="W48" s="56">
        <f>N48-U48</f>
        <v>5</v>
      </c>
      <c r="X48" s="55">
        <f>ROUND(L48/K48, 2)</f>
        <v>2</v>
      </c>
    </row>
    <row r="49" spans="1:24" ht="15.75" customHeight="1">
      <c r="A49" s="56" t="s">
        <v>96</v>
      </c>
      <c r="B49" s="56" t="s">
        <v>20</v>
      </c>
      <c r="C49" s="60" t="s">
        <v>422</v>
      </c>
      <c r="D49" s="57">
        <v>157313</v>
      </c>
      <c r="E49" s="57">
        <f>D49*5%</f>
        <v>7865.6500000000005</v>
      </c>
      <c r="F49" s="57">
        <v>0</v>
      </c>
      <c r="G49" s="57">
        <f>SUM(D49:F49)</f>
        <v>165178.65</v>
      </c>
      <c r="H49" s="57">
        <v>0</v>
      </c>
      <c r="I49" s="57">
        <f>SUM(G49:H49)</f>
        <v>165178.65</v>
      </c>
      <c r="J49" s="57">
        <f>I49/K49</f>
        <v>165178.65</v>
      </c>
      <c r="K49" s="56">
        <v>1</v>
      </c>
      <c r="L49" s="57">
        <v>0</v>
      </c>
      <c r="M49" s="56">
        <f>SUM(K49:L49)</f>
        <v>1</v>
      </c>
      <c r="N49" s="58">
        <v>45461</v>
      </c>
      <c r="O49" s="59">
        <v>45825</v>
      </c>
      <c r="P49" s="56" t="str">
        <f>TEXT(N49, "mmmm")</f>
        <v>June</v>
      </c>
      <c r="Q49" s="56">
        <f>YEAR(N49)</f>
        <v>2024</v>
      </c>
      <c r="R49" s="56" t="s">
        <v>22</v>
      </c>
      <c r="S49" s="56" t="s">
        <v>22</v>
      </c>
      <c r="T49" s="56"/>
      <c r="U49" s="58">
        <v>45455</v>
      </c>
      <c r="V49" s="56">
        <f ca="1">TODAY()-N49</f>
        <v>118</v>
      </c>
      <c r="W49" s="56">
        <f>N49-U49</f>
        <v>6</v>
      </c>
      <c r="X49" s="55">
        <f>ROUND(L49/K49, 2)</f>
        <v>0</v>
      </c>
    </row>
    <row r="50" spans="1:24" ht="15.75" customHeight="1">
      <c r="A50" s="62" t="s">
        <v>99</v>
      </c>
      <c r="B50" s="62" t="s">
        <v>20</v>
      </c>
      <c r="C50" s="60" t="s">
        <v>422</v>
      </c>
      <c r="D50" s="63">
        <v>1381142</v>
      </c>
      <c r="E50" s="57">
        <f>D50*5%</f>
        <v>69057.100000000006</v>
      </c>
      <c r="F50" s="63">
        <v>30000</v>
      </c>
      <c r="G50" s="57">
        <f>SUM(D50:F50)</f>
        <v>1480199.1</v>
      </c>
      <c r="H50" s="63" t="s">
        <v>100</v>
      </c>
      <c r="I50" s="57">
        <f>SUM(G50:H50)</f>
        <v>1480199.1</v>
      </c>
      <c r="J50" s="57">
        <f>I50/K50</f>
        <v>1480199.1</v>
      </c>
      <c r="K50" s="64">
        <v>1</v>
      </c>
      <c r="L50" s="63">
        <v>2</v>
      </c>
      <c r="M50" s="64">
        <v>3</v>
      </c>
      <c r="N50" s="65">
        <v>45468</v>
      </c>
      <c r="O50" s="66">
        <v>45832</v>
      </c>
      <c r="P50" s="56" t="str">
        <f>TEXT(N50, "mmmm")</f>
        <v>June</v>
      </c>
      <c r="Q50" s="56">
        <f>YEAR(N50)</f>
        <v>2024</v>
      </c>
      <c r="R50" s="62" t="s">
        <v>22</v>
      </c>
      <c r="S50" s="62" t="s">
        <v>22</v>
      </c>
      <c r="T50" s="62"/>
      <c r="U50" s="65">
        <v>45467</v>
      </c>
      <c r="V50" s="56">
        <f ca="1">TODAY()-N50</f>
        <v>111</v>
      </c>
      <c r="W50" s="56">
        <f>N50-U50</f>
        <v>1</v>
      </c>
      <c r="X50" s="55">
        <f>ROUND(L50/K50, 2)</f>
        <v>2</v>
      </c>
    </row>
    <row r="51" spans="1:24" ht="15.75" customHeight="1">
      <c r="A51" s="56" t="s">
        <v>104</v>
      </c>
      <c r="B51" s="62" t="s">
        <v>20</v>
      </c>
      <c r="C51" s="60" t="s">
        <v>422</v>
      </c>
      <c r="D51" s="57">
        <v>6179754</v>
      </c>
      <c r="E51" s="57">
        <f>D51*5%</f>
        <v>308987.7</v>
      </c>
      <c r="F51" s="57">
        <v>210000</v>
      </c>
      <c r="G51" s="57">
        <f>SUM(D51:F51)</f>
        <v>6698741.7000000002</v>
      </c>
      <c r="H51" s="57">
        <v>0</v>
      </c>
      <c r="I51" s="57">
        <f>SUM(G51:H51)</f>
        <v>6698741.7000000002</v>
      </c>
      <c r="J51" s="57">
        <f>I51/K51</f>
        <v>318987.7</v>
      </c>
      <c r="K51" s="56">
        <v>21</v>
      </c>
      <c r="L51" s="57">
        <v>0</v>
      </c>
      <c r="M51" s="56">
        <v>21</v>
      </c>
      <c r="N51" s="65">
        <v>45475</v>
      </c>
      <c r="O51" s="66">
        <v>45839</v>
      </c>
      <c r="P51" s="56" t="str">
        <f>TEXT(N51, "mmmm")</f>
        <v>July</v>
      </c>
      <c r="Q51" s="56">
        <f>YEAR(N51)</f>
        <v>2024</v>
      </c>
      <c r="R51" s="56" t="s">
        <v>22</v>
      </c>
      <c r="S51" s="56" t="s">
        <v>22</v>
      </c>
      <c r="T51" s="56"/>
      <c r="U51" s="65">
        <v>45443</v>
      </c>
      <c r="V51" s="56">
        <f ca="1">TODAY()-N51</f>
        <v>104</v>
      </c>
      <c r="W51" s="56">
        <f>N51-U51</f>
        <v>32</v>
      </c>
      <c r="X51" s="55">
        <f>ROUND(L51/K51, 2)</f>
        <v>0</v>
      </c>
    </row>
    <row r="52" spans="1:24" ht="15.75" customHeight="1">
      <c r="A52" s="56" t="s">
        <v>105</v>
      </c>
      <c r="B52" s="62" t="s">
        <v>20</v>
      </c>
      <c r="C52" s="60" t="s">
        <v>422</v>
      </c>
      <c r="D52" s="57">
        <v>1595848</v>
      </c>
      <c r="E52" s="57">
        <f>D52*5%</f>
        <v>79792.400000000009</v>
      </c>
      <c r="F52" s="57">
        <v>40000</v>
      </c>
      <c r="G52" s="57">
        <f>SUM(D52:F52)</f>
        <v>1715640.4</v>
      </c>
      <c r="H52" s="57">
        <v>0</v>
      </c>
      <c r="I52" s="57">
        <f>SUM(G52:H52)</f>
        <v>1715640.4</v>
      </c>
      <c r="J52" s="57">
        <f>I52/K52</f>
        <v>428910.1</v>
      </c>
      <c r="K52" s="56">
        <v>4</v>
      </c>
      <c r="L52" s="57">
        <v>3</v>
      </c>
      <c r="M52" s="56">
        <v>4</v>
      </c>
      <c r="N52" s="65">
        <v>45483</v>
      </c>
      <c r="O52" s="66">
        <v>45847</v>
      </c>
      <c r="P52" s="56" t="str">
        <f>TEXT(N52, "mmmm")</f>
        <v>July</v>
      </c>
      <c r="Q52" s="56">
        <f>YEAR(N52)</f>
        <v>2024</v>
      </c>
      <c r="R52" s="56" t="s">
        <v>22</v>
      </c>
      <c r="S52" s="56" t="s">
        <v>22</v>
      </c>
      <c r="T52" s="56"/>
      <c r="U52" s="65">
        <v>45462</v>
      </c>
      <c r="V52" s="56">
        <f ca="1">TODAY()-N52</f>
        <v>96</v>
      </c>
      <c r="W52" s="56">
        <f>N52-U52</f>
        <v>21</v>
      </c>
      <c r="X52" s="55">
        <f>ROUND(L52/K52, 2)</f>
        <v>0.75</v>
      </c>
    </row>
    <row r="53" spans="1:24" ht="15.75" customHeight="1">
      <c r="A53" s="56" t="s">
        <v>112</v>
      </c>
      <c r="B53" s="62" t="s">
        <v>20</v>
      </c>
      <c r="C53" s="60" t="s">
        <v>422</v>
      </c>
      <c r="D53" s="57">
        <v>1791035</v>
      </c>
      <c r="E53" s="57">
        <f>D53*5%</f>
        <v>89551.75</v>
      </c>
      <c r="F53" s="57">
        <v>30000</v>
      </c>
      <c r="G53" s="57">
        <f>SUM(D53:F53)</f>
        <v>1910586.75</v>
      </c>
      <c r="H53" s="57">
        <v>0</v>
      </c>
      <c r="I53" s="57">
        <f>SUM(G53:H53)</f>
        <v>1910586.75</v>
      </c>
      <c r="J53" s="57">
        <f>I53/K53</f>
        <v>1910586.75</v>
      </c>
      <c r="K53" s="56">
        <v>1</v>
      </c>
      <c r="L53" s="57">
        <v>2</v>
      </c>
      <c r="M53" s="56">
        <v>3</v>
      </c>
      <c r="N53" s="65">
        <v>45495</v>
      </c>
      <c r="O53" s="66">
        <v>45859</v>
      </c>
      <c r="P53" s="56" t="str">
        <f>TEXT(N53, "mmmm")</f>
        <v>July</v>
      </c>
      <c r="Q53" s="56">
        <f>YEAR(N53)</f>
        <v>2024</v>
      </c>
      <c r="R53" s="56" t="s">
        <v>22</v>
      </c>
      <c r="S53" s="56" t="s">
        <v>22</v>
      </c>
      <c r="T53" s="56"/>
      <c r="U53" s="65">
        <v>45492</v>
      </c>
      <c r="V53" s="56">
        <f ca="1">TODAY()-N53</f>
        <v>84</v>
      </c>
      <c r="W53" s="56">
        <f>N53-U53</f>
        <v>3</v>
      </c>
      <c r="X53" s="55">
        <f>ROUND(L53/K53, 2)</f>
        <v>2</v>
      </c>
    </row>
    <row r="54" spans="1:24" ht="15.75" customHeight="1">
      <c r="A54" s="56" t="s">
        <v>113</v>
      </c>
      <c r="B54" s="62" t="s">
        <v>20</v>
      </c>
      <c r="C54" s="60" t="s">
        <v>422</v>
      </c>
      <c r="D54" s="57">
        <v>908890</v>
      </c>
      <c r="E54" s="57">
        <f>D54*5%</f>
        <v>45444.5</v>
      </c>
      <c r="F54" s="57">
        <v>10000</v>
      </c>
      <c r="G54" s="57">
        <f>SUM(D54:F54)</f>
        <v>964334.5</v>
      </c>
      <c r="H54" s="57">
        <v>0</v>
      </c>
      <c r="I54" s="57">
        <f>SUM(G54:H54)</f>
        <v>964334.5</v>
      </c>
      <c r="J54" s="57">
        <f>I54/K54</f>
        <v>964334.5</v>
      </c>
      <c r="K54" s="56">
        <v>1</v>
      </c>
      <c r="L54" s="57">
        <v>0</v>
      </c>
      <c r="M54" s="56">
        <v>1</v>
      </c>
      <c r="N54" s="65">
        <v>45495</v>
      </c>
      <c r="O54" s="66">
        <v>45859</v>
      </c>
      <c r="P54" s="56" t="str">
        <f>TEXT(N54, "mmmm")</f>
        <v>July</v>
      </c>
      <c r="Q54" s="56">
        <f>YEAR(N54)</f>
        <v>2024</v>
      </c>
      <c r="R54" s="56" t="s">
        <v>22</v>
      </c>
      <c r="S54" s="56" t="s">
        <v>22</v>
      </c>
      <c r="T54" s="56"/>
      <c r="U54" s="65">
        <v>45495</v>
      </c>
      <c r="V54" s="56">
        <f ca="1">TODAY()-N54</f>
        <v>84</v>
      </c>
      <c r="W54" s="56">
        <f>N54-U54</f>
        <v>0</v>
      </c>
      <c r="X54" s="55">
        <f>ROUND(L54/K54, 2)</f>
        <v>0</v>
      </c>
    </row>
    <row r="55" spans="1:24" ht="15.75" customHeight="1">
      <c r="A55" s="56" t="s">
        <v>114</v>
      </c>
      <c r="B55" s="62" t="s">
        <v>20</v>
      </c>
      <c r="C55" s="60" t="s">
        <v>422</v>
      </c>
      <c r="D55" s="57">
        <v>443102</v>
      </c>
      <c r="E55" s="57">
        <f>D55*5%</f>
        <v>22155.100000000002</v>
      </c>
      <c r="F55" s="57">
        <v>10000</v>
      </c>
      <c r="G55" s="57">
        <f>SUM(D55:F55)</f>
        <v>475257.1</v>
      </c>
      <c r="H55" s="57">
        <v>0</v>
      </c>
      <c r="I55" s="57">
        <f>SUM(G55:H55)</f>
        <v>475257.1</v>
      </c>
      <c r="J55" s="57">
        <f>I55/K55</f>
        <v>475257.1</v>
      </c>
      <c r="K55" s="56">
        <v>1</v>
      </c>
      <c r="L55" s="57">
        <v>0</v>
      </c>
      <c r="M55" s="56">
        <v>1</v>
      </c>
      <c r="N55" s="65">
        <v>45496</v>
      </c>
      <c r="O55" s="66">
        <v>45860</v>
      </c>
      <c r="P55" s="56" t="str">
        <f>TEXT(N55, "mmmm")</f>
        <v>July</v>
      </c>
      <c r="Q55" s="56">
        <f>YEAR(N55)</f>
        <v>2024</v>
      </c>
      <c r="R55" s="56" t="s">
        <v>22</v>
      </c>
      <c r="S55" s="56" t="s">
        <v>22</v>
      </c>
      <c r="T55" s="56"/>
      <c r="U55" s="65">
        <v>45459</v>
      </c>
      <c r="V55" s="56">
        <f ca="1">TODAY()-N55</f>
        <v>83</v>
      </c>
      <c r="W55" s="56">
        <f>N55-U55</f>
        <v>37</v>
      </c>
      <c r="X55" s="55">
        <f>ROUND(L55/K55, 2)</f>
        <v>0</v>
      </c>
    </row>
    <row r="56" spans="1:24" ht="15.75" customHeight="1">
      <c r="A56" s="56" t="s">
        <v>115</v>
      </c>
      <c r="B56" s="62" t="s">
        <v>20</v>
      </c>
      <c r="C56" s="60" t="s">
        <v>422</v>
      </c>
      <c r="D56" s="57">
        <v>1293912</v>
      </c>
      <c r="E56" s="57">
        <f>D56*5%</f>
        <v>64695.600000000006</v>
      </c>
      <c r="F56" s="57">
        <v>20000</v>
      </c>
      <c r="G56" s="57">
        <f>SUM(D56:F56)</f>
        <v>1378607.6</v>
      </c>
      <c r="H56" s="57">
        <v>0</v>
      </c>
      <c r="I56" s="57">
        <f>SUM(G56:H56)</f>
        <v>1378607.6</v>
      </c>
      <c r="J56" s="57">
        <f>I56/K56</f>
        <v>1378607.6</v>
      </c>
      <c r="K56" s="56">
        <v>1</v>
      </c>
      <c r="L56" s="57">
        <v>1</v>
      </c>
      <c r="M56" s="56">
        <v>2</v>
      </c>
      <c r="N56" s="65">
        <v>45497</v>
      </c>
      <c r="O56" s="66">
        <v>45861</v>
      </c>
      <c r="P56" s="56" t="str">
        <f>TEXT(N56, "mmmm")</f>
        <v>July</v>
      </c>
      <c r="Q56" s="56">
        <f>YEAR(N56)</f>
        <v>2024</v>
      </c>
      <c r="R56" s="56" t="s">
        <v>22</v>
      </c>
      <c r="S56" s="56" t="s">
        <v>22</v>
      </c>
      <c r="T56" s="56"/>
      <c r="U56" s="65">
        <v>45495</v>
      </c>
      <c r="V56" s="56">
        <f ca="1">TODAY()-N56</f>
        <v>82</v>
      </c>
      <c r="W56" s="56">
        <f>N56-U56</f>
        <v>2</v>
      </c>
      <c r="X56" s="55">
        <f>ROUND(L56/K56, 2)</f>
        <v>1</v>
      </c>
    </row>
    <row r="57" spans="1:24" ht="15.75" customHeight="1">
      <c r="A57" s="56" t="s">
        <v>127</v>
      </c>
      <c r="B57" s="62" t="s">
        <v>20</v>
      </c>
      <c r="C57" s="60" t="s">
        <v>422</v>
      </c>
      <c r="D57" s="57">
        <v>2387323</v>
      </c>
      <c r="E57" s="57">
        <f>D57*5%</f>
        <v>119366.15000000001</v>
      </c>
      <c r="F57" s="57">
        <v>20000</v>
      </c>
      <c r="G57" s="57">
        <f>SUM(D57:F57)</f>
        <v>2526689.15</v>
      </c>
      <c r="H57" s="57"/>
      <c r="I57" s="57">
        <f>SUM(G57:H57)</f>
        <v>2526689.15</v>
      </c>
      <c r="J57" s="57">
        <f>I57/K57</f>
        <v>2526689.15</v>
      </c>
      <c r="K57" s="56">
        <v>1</v>
      </c>
      <c r="L57" s="57">
        <v>1</v>
      </c>
      <c r="M57" s="56">
        <v>2</v>
      </c>
      <c r="N57" s="65">
        <v>45516</v>
      </c>
      <c r="O57" s="66">
        <v>45880</v>
      </c>
      <c r="P57" s="56" t="str">
        <f>TEXT(N57, "mmmm")</f>
        <v>August</v>
      </c>
      <c r="Q57" s="56">
        <f>YEAR(N57)</f>
        <v>2024</v>
      </c>
      <c r="R57" s="56" t="s">
        <v>22</v>
      </c>
      <c r="S57" s="56" t="s">
        <v>22</v>
      </c>
      <c r="T57" s="56"/>
      <c r="U57" s="65">
        <v>45510</v>
      </c>
      <c r="V57" s="56">
        <f ca="1">TODAY()-N57</f>
        <v>63</v>
      </c>
      <c r="W57" s="56">
        <f>N57-U57</f>
        <v>6</v>
      </c>
      <c r="X57" s="55">
        <f>ROUND(L57/K57, 2)</f>
        <v>1</v>
      </c>
    </row>
    <row r="58" spans="1:24" ht="15.75" customHeight="1">
      <c r="A58" s="56" t="s">
        <v>128</v>
      </c>
      <c r="B58" s="62" t="s">
        <v>20</v>
      </c>
      <c r="C58" s="60" t="s">
        <v>422</v>
      </c>
      <c r="D58" s="57">
        <v>562108</v>
      </c>
      <c r="E58" s="57">
        <f>D58*5%</f>
        <v>28105.4</v>
      </c>
      <c r="F58" s="57">
        <v>10000</v>
      </c>
      <c r="G58" s="57">
        <f>SUM(D58:F58)</f>
        <v>600213.4</v>
      </c>
      <c r="H58" s="57"/>
      <c r="I58" s="57">
        <f>SUM(G58:H58)</f>
        <v>600213.4</v>
      </c>
      <c r="J58" s="57">
        <f>I58/K58</f>
        <v>600213.4</v>
      </c>
      <c r="K58" s="56">
        <v>1</v>
      </c>
      <c r="L58" s="57">
        <v>0</v>
      </c>
      <c r="M58" s="56">
        <v>1</v>
      </c>
      <c r="N58" s="65">
        <v>45516</v>
      </c>
      <c r="O58" s="66">
        <v>45880</v>
      </c>
      <c r="P58" s="56" t="str">
        <f>TEXT(N58, "mmmm")</f>
        <v>August</v>
      </c>
      <c r="Q58" s="56">
        <f>YEAR(N58)</f>
        <v>2024</v>
      </c>
      <c r="R58" s="56" t="s">
        <v>22</v>
      </c>
      <c r="S58" s="56" t="s">
        <v>22</v>
      </c>
      <c r="T58" s="56"/>
      <c r="U58" s="65">
        <v>45512</v>
      </c>
      <c r="V58" s="56">
        <f ca="1">TODAY()-N58</f>
        <v>63</v>
      </c>
      <c r="W58" s="56">
        <f>N58-U58</f>
        <v>4</v>
      </c>
      <c r="X58" s="55">
        <f>ROUND(L58/K58, 2)</f>
        <v>0</v>
      </c>
    </row>
    <row r="59" spans="1:24" ht="15.75" customHeight="1">
      <c r="A59" s="56" t="s">
        <v>85</v>
      </c>
      <c r="B59" s="56" t="s">
        <v>20</v>
      </c>
      <c r="C59" s="60" t="s">
        <v>422</v>
      </c>
      <c r="D59" s="57">
        <v>1277471</v>
      </c>
      <c r="E59" s="57">
        <f>D59*5%</f>
        <v>63873.55</v>
      </c>
      <c r="F59" s="57">
        <v>30000</v>
      </c>
      <c r="G59" s="57">
        <f>SUM(D59:F59)</f>
        <v>1371344.55</v>
      </c>
      <c r="H59" s="57">
        <v>0</v>
      </c>
      <c r="I59" s="57">
        <f>SUM(G59:H59)</f>
        <v>1371344.55</v>
      </c>
      <c r="J59" s="57">
        <f>I59/K59</f>
        <v>1371344.55</v>
      </c>
      <c r="K59" s="56">
        <v>1</v>
      </c>
      <c r="L59" s="57">
        <v>2</v>
      </c>
      <c r="M59" s="56">
        <f>SUM(K59:L59)</f>
        <v>3</v>
      </c>
      <c r="N59" s="58">
        <v>45441</v>
      </c>
      <c r="O59" s="59">
        <v>45807</v>
      </c>
      <c r="P59" s="56" t="str">
        <f>TEXT(N59, "mmmm")</f>
        <v>May</v>
      </c>
      <c r="Q59" s="56">
        <f>YEAR(N59)</f>
        <v>2024</v>
      </c>
      <c r="R59" s="56" t="s">
        <v>22</v>
      </c>
      <c r="S59" s="56" t="s">
        <v>86</v>
      </c>
      <c r="T59" s="56"/>
      <c r="U59" s="58">
        <v>45421</v>
      </c>
      <c r="V59" s="56">
        <f ca="1">TODAY()-N59</f>
        <v>138</v>
      </c>
      <c r="W59" s="56">
        <f>N59-U59</f>
        <v>20</v>
      </c>
      <c r="X59" s="55">
        <f>ROUND(L59/K59, 2)</f>
        <v>2</v>
      </c>
    </row>
    <row r="60" spans="1:24" ht="15.75" customHeight="1">
      <c r="A60" s="56" t="s">
        <v>103</v>
      </c>
      <c r="B60" s="62" t="s">
        <v>20</v>
      </c>
      <c r="C60" s="60" t="s">
        <v>422</v>
      </c>
      <c r="D60" s="57">
        <v>2999400</v>
      </c>
      <c r="E60" s="57">
        <f>D60*5%</f>
        <v>149970</v>
      </c>
      <c r="F60" s="57">
        <v>40000</v>
      </c>
      <c r="G60" s="57">
        <f>SUM(D60:F60)</f>
        <v>3189370</v>
      </c>
      <c r="H60" s="57">
        <v>0</v>
      </c>
      <c r="I60" s="57">
        <f>SUM(G60:H60)</f>
        <v>3189370</v>
      </c>
      <c r="J60" s="57">
        <f>I60/K60</f>
        <v>1594685</v>
      </c>
      <c r="K60" s="56">
        <v>2</v>
      </c>
      <c r="L60" s="57">
        <v>2</v>
      </c>
      <c r="M60" s="56">
        <v>4</v>
      </c>
      <c r="N60" s="65">
        <v>45467</v>
      </c>
      <c r="O60" s="66">
        <v>45831</v>
      </c>
      <c r="P60" s="56" t="str">
        <f>TEXT(N60, "mmmm")</f>
        <v>June</v>
      </c>
      <c r="Q60" s="56">
        <f>YEAR(N60)</f>
        <v>2024</v>
      </c>
      <c r="R60" s="56" t="s">
        <v>22</v>
      </c>
      <c r="S60" s="56" t="s">
        <v>86</v>
      </c>
      <c r="T60" s="47" t="s">
        <v>426</v>
      </c>
      <c r="U60" s="65">
        <v>45456</v>
      </c>
      <c r="V60" s="56">
        <f ca="1">TODAY()-N60</f>
        <v>112</v>
      </c>
      <c r="W60" s="56">
        <f>N60-U60</f>
        <v>11</v>
      </c>
      <c r="X60" s="55">
        <f>ROUND(L60/K60, 2)</f>
        <v>1</v>
      </c>
    </row>
    <row r="61" spans="1:24" ht="15.75" customHeight="1">
      <c r="A61" s="56" t="s">
        <v>133</v>
      </c>
      <c r="B61" s="62" t="s">
        <v>20</v>
      </c>
      <c r="C61" s="60" t="s">
        <v>422</v>
      </c>
      <c r="D61" s="57">
        <v>6468621</v>
      </c>
      <c r="E61" s="57">
        <f>D61*5%</f>
        <v>323431.05000000005</v>
      </c>
      <c r="F61" s="57">
        <v>190000</v>
      </c>
      <c r="G61" s="57">
        <f>SUM(D61:F61)</f>
        <v>6982052.0499999998</v>
      </c>
      <c r="H61" s="57"/>
      <c r="I61" s="57">
        <f>SUM(G61:H61)</f>
        <v>6982052.0499999998</v>
      </c>
      <c r="J61" s="57">
        <f>I61/K61</f>
        <v>872756.50624999998</v>
      </c>
      <c r="K61" s="56">
        <v>8</v>
      </c>
      <c r="L61" s="57">
        <v>11</v>
      </c>
      <c r="M61" s="56">
        <v>19</v>
      </c>
      <c r="N61" s="65">
        <v>45521</v>
      </c>
      <c r="O61" s="66">
        <v>45885</v>
      </c>
      <c r="P61" s="56" t="str">
        <f>TEXT(N61, "mmmm")</f>
        <v>August</v>
      </c>
      <c r="Q61" s="56">
        <f>YEAR(N61)</f>
        <v>2024</v>
      </c>
      <c r="R61" s="56" t="s">
        <v>22</v>
      </c>
      <c r="S61" s="56" t="s">
        <v>86</v>
      </c>
      <c r="T61" s="47" t="s">
        <v>426</v>
      </c>
      <c r="U61" s="65">
        <v>45411</v>
      </c>
      <c r="V61" s="56">
        <f ca="1">TODAY()-N61</f>
        <v>58</v>
      </c>
      <c r="W61" s="56">
        <f>N61-U61</f>
        <v>110</v>
      </c>
      <c r="X61" s="55">
        <f>ROUND(L61/K61, 2)</f>
        <v>1.38</v>
      </c>
    </row>
    <row r="62" spans="1:24" ht="15.75" customHeight="1">
      <c r="A62" s="56" t="s">
        <v>33</v>
      </c>
      <c r="B62" s="56" t="s">
        <v>20</v>
      </c>
      <c r="C62" s="60" t="s">
        <v>422</v>
      </c>
      <c r="D62" s="57">
        <v>582697</v>
      </c>
      <c r="E62" s="57">
        <f>D62*5%</f>
        <v>29134.850000000002</v>
      </c>
      <c r="F62" s="57">
        <v>10000</v>
      </c>
      <c r="G62" s="57">
        <f>SUM(D62:F62)</f>
        <v>621831.85</v>
      </c>
      <c r="H62" s="57">
        <v>0</v>
      </c>
      <c r="I62" s="57">
        <f>SUM(G62:H62)</f>
        <v>621831.85</v>
      </c>
      <c r="J62" s="57">
        <f>I62/K62</f>
        <v>621831.85</v>
      </c>
      <c r="K62" s="56">
        <v>1</v>
      </c>
      <c r="L62" s="56">
        <v>0</v>
      </c>
      <c r="M62" s="56">
        <f>SUM(K62:L62)</f>
        <v>1</v>
      </c>
      <c r="N62" s="58">
        <v>45327</v>
      </c>
      <c r="O62" s="59">
        <v>45692</v>
      </c>
      <c r="P62" s="56" t="str">
        <f>TEXT(N62, "mmmm")</f>
        <v>February</v>
      </c>
      <c r="Q62" s="56">
        <f>YEAR(N62)</f>
        <v>2024</v>
      </c>
      <c r="R62" s="56" t="s">
        <v>22</v>
      </c>
      <c r="S62" s="56" t="s">
        <v>34</v>
      </c>
      <c r="T62" s="47" t="s">
        <v>424</v>
      </c>
      <c r="U62" s="58">
        <v>45296</v>
      </c>
      <c r="V62" s="56">
        <f ca="1">TODAY()-N62</f>
        <v>252</v>
      </c>
      <c r="W62" s="56">
        <f>N62-U62</f>
        <v>31</v>
      </c>
      <c r="X62" s="55">
        <f>ROUND(L62/K62, 2)</f>
        <v>0</v>
      </c>
    </row>
    <row r="63" spans="1:24" ht="15.75" customHeight="1">
      <c r="A63" s="56" t="s">
        <v>39</v>
      </c>
      <c r="B63" s="56" t="s">
        <v>40</v>
      </c>
      <c r="C63" s="47" t="s">
        <v>421</v>
      </c>
      <c r="D63" s="57">
        <v>25054849</v>
      </c>
      <c r="E63" s="57">
        <f>D63*5%</f>
        <v>1252742.45</v>
      </c>
      <c r="F63" s="57">
        <v>335000</v>
      </c>
      <c r="G63" s="57">
        <f>SUM(D63:F63)</f>
        <v>26642591.449999999</v>
      </c>
      <c r="H63" s="57">
        <v>0</v>
      </c>
      <c r="I63" s="57">
        <f>SUM(G63:H63)</f>
        <v>26642591.449999999</v>
      </c>
      <c r="J63" s="57">
        <f>I63/K63</f>
        <v>832580.98281249998</v>
      </c>
      <c r="K63" s="56">
        <v>32</v>
      </c>
      <c r="L63" s="56">
        <f>67-32</f>
        <v>35</v>
      </c>
      <c r="M63" s="56">
        <f>SUM(K63:L63)</f>
        <v>67</v>
      </c>
      <c r="N63" s="58">
        <v>45336</v>
      </c>
      <c r="O63" s="59">
        <v>45701</v>
      </c>
      <c r="P63" s="56" t="str">
        <f>TEXT(N63, "mmmm")</f>
        <v>February</v>
      </c>
      <c r="Q63" s="56">
        <f>YEAR(N63)</f>
        <v>2024</v>
      </c>
      <c r="R63" s="56" t="s">
        <v>22</v>
      </c>
      <c r="S63" s="56" t="s">
        <v>34</v>
      </c>
      <c r="T63" s="47" t="s">
        <v>424</v>
      </c>
      <c r="U63" s="58">
        <v>45301</v>
      </c>
      <c r="V63" s="56">
        <f ca="1">TODAY()-N63</f>
        <v>243</v>
      </c>
      <c r="W63" s="56">
        <f>N63-U63</f>
        <v>35</v>
      </c>
      <c r="X63" s="55">
        <f>ROUND(L63/K63, 2)</f>
        <v>1.0900000000000001</v>
      </c>
    </row>
    <row r="64" spans="1:24" ht="15.75" customHeight="1">
      <c r="A64" s="56" t="s">
        <v>41</v>
      </c>
      <c r="B64" s="56" t="s">
        <v>20</v>
      </c>
      <c r="C64" s="60" t="s">
        <v>422</v>
      </c>
      <c r="D64" s="57">
        <v>22693363</v>
      </c>
      <c r="E64" s="57">
        <f>D64*5%</f>
        <v>1134668.1500000001</v>
      </c>
      <c r="F64" s="57">
        <v>720000</v>
      </c>
      <c r="G64" s="57">
        <f>SUM(D64:F64)</f>
        <v>24548031.149999999</v>
      </c>
      <c r="H64" s="57">
        <v>0</v>
      </c>
      <c r="I64" s="57">
        <f>SUM(G64:H64)</f>
        <v>24548031.149999999</v>
      </c>
      <c r="J64" s="57">
        <f>I64/K64</f>
        <v>454593.16944444441</v>
      </c>
      <c r="K64" s="56">
        <v>54</v>
      </c>
      <c r="L64" s="56">
        <f>72-54</f>
        <v>18</v>
      </c>
      <c r="M64" s="56">
        <f>SUM(K64:L64)</f>
        <v>72</v>
      </c>
      <c r="N64" s="58">
        <v>45344</v>
      </c>
      <c r="O64" s="59">
        <v>45709</v>
      </c>
      <c r="P64" s="56" t="str">
        <f>TEXT(N64, "mmmm")</f>
        <v>February</v>
      </c>
      <c r="Q64" s="56">
        <f>YEAR(N64)</f>
        <v>2024</v>
      </c>
      <c r="R64" s="56" t="s">
        <v>22</v>
      </c>
      <c r="S64" s="56" t="s">
        <v>34</v>
      </c>
      <c r="T64" s="47" t="s">
        <v>424</v>
      </c>
      <c r="U64" s="58">
        <v>45297</v>
      </c>
      <c r="V64" s="56">
        <f ca="1">TODAY()-N64</f>
        <v>235</v>
      </c>
      <c r="W64" s="56">
        <f>N64-U64</f>
        <v>47</v>
      </c>
      <c r="X64" s="55">
        <f>ROUND(L64/K64, 2)</f>
        <v>0.33</v>
      </c>
    </row>
    <row r="65" spans="1:24" ht="15.75" customHeight="1">
      <c r="A65" s="56" t="s">
        <v>47</v>
      </c>
      <c r="B65" s="56" t="s">
        <v>40</v>
      </c>
      <c r="C65" s="47" t="s">
        <v>421</v>
      </c>
      <c r="D65" s="57">
        <v>34306666</v>
      </c>
      <c r="E65" s="57">
        <f>D65*5%</f>
        <v>1715333.3</v>
      </c>
      <c r="F65" s="57">
        <v>0</v>
      </c>
      <c r="G65" s="57">
        <f>SUM(D65:F65)</f>
        <v>36021999.299999997</v>
      </c>
      <c r="H65" s="57">
        <v>0</v>
      </c>
      <c r="I65" s="57">
        <f>SUM(G65:H65)</f>
        <v>36021999.299999997</v>
      </c>
      <c r="J65" s="57">
        <f>I65/K65</f>
        <v>1000611.0916666666</v>
      </c>
      <c r="K65" s="56">
        <v>36</v>
      </c>
      <c r="L65" s="56">
        <f>105-36</f>
        <v>69</v>
      </c>
      <c r="M65" s="56">
        <f>SUM(K65:L65)</f>
        <v>105</v>
      </c>
      <c r="N65" s="58">
        <v>45359</v>
      </c>
      <c r="O65" s="59">
        <v>45723</v>
      </c>
      <c r="P65" s="56" t="str">
        <f>TEXT(N65, "mmmm")</f>
        <v>March</v>
      </c>
      <c r="Q65" s="56">
        <f>YEAR(N65)</f>
        <v>2024</v>
      </c>
      <c r="R65" s="56" t="s">
        <v>22</v>
      </c>
      <c r="S65" s="56" t="s">
        <v>34</v>
      </c>
      <c r="T65" s="47" t="s">
        <v>424</v>
      </c>
      <c r="U65" s="58">
        <v>45328</v>
      </c>
      <c r="V65" s="56">
        <f ca="1">TODAY()-N65</f>
        <v>220</v>
      </c>
      <c r="W65" s="56">
        <f>N65-U65</f>
        <v>31</v>
      </c>
      <c r="X65" s="55">
        <f>ROUND(L65/K65, 2)</f>
        <v>1.92</v>
      </c>
    </row>
    <row r="66" spans="1:24" ht="15.75" customHeight="1">
      <c r="A66" s="56" t="s">
        <v>60</v>
      </c>
      <c r="B66" s="56" t="s">
        <v>20</v>
      </c>
      <c r="C66" s="60" t="s">
        <v>422</v>
      </c>
      <c r="D66" s="57">
        <v>654024</v>
      </c>
      <c r="E66" s="57">
        <f>D66*5%</f>
        <v>32701.200000000001</v>
      </c>
      <c r="F66" s="57">
        <v>10000</v>
      </c>
      <c r="G66" s="57">
        <f>SUM(D66:F66)</f>
        <v>696725.2</v>
      </c>
      <c r="H66" s="57">
        <v>0</v>
      </c>
      <c r="I66" s="57">
        <f>SUM(G66:H66)</f>
        <v>696725.2</v>
      </c>
      <c r="J66" s="57">
        <f>I66/K66</f>
        <v>696725.2</v>
      </c>
      <c r="K66" s="56">
        <v>1</v>
      </c>
      <c r="L66" s="56">
        <v>0</v>
      </c>
      <c r="M66" s="56">
        <f>SUM(K66:L66)</f>
        <v>1</v>
      </c>
      <c r="N66" s="58">
        <v>45394</v>
      </c>
      <c r="O66" s="59">
        <v>45758</v>
      </c>
      <c r="P66" s="56" t="str">
        <f>TEXT(N66, "mmmm")</f>
        <v>April</v>
      </c>
      <c r="Q66" s="56">
        <f>YEAR(N66)</f>
        <v>2024</v>
      </c>
      <c r="R66" s="56" t="s">
        <v>22</v>
      </c>
      <c r="S66" s="56" t="s">
        <v>34</v>
      </c>
      <c r="T66" s="47" t="s">
        <v>424</v>
      </c>
      <c r="U66" s="58">
        <v>45393</v>
      </c>
      <c r="V66" s="56">
        <f ca="1">TODAY()-N66</f>
        <v>185</v>
      </c>
      <c r="W66" s="56">
        <f>N66-U66</f>
        <v>1</v>
      </c>
      <c r="X66" s="55">
        <f>ROUND(L66/K66, 2)</f>
        <v>0</v>
      </c>
    </row>
    <row r="67" spans="1:24" ht="15.75" customHeight="1">
      <c r="A67" s="56" t="s">
        <v>92</v>
      </c>
      <c r="B67" s="56" t="s">
        <v>20</v>
      </c>
      <c r="C67" s="60" t="s">
        <v>422</v>
      </c>
      <c r="D67" s="57">
        <v>1111499</v>
      </c>
      <c r="E67" s="57">
        <f>D67*5%</f>
        <v>55574.950000000004</v>
      </c>
      <c r="F67" s="57">
        <v>20000</v>
      </c>
      <c r="G67" s="57">
        <f>SUM(D67:F67)</f>
        <v>1187073.95</v>
      </c>
      <c r="H67" s="57">
        <v>0</v>
      </c>
      <c r="I67" s="57">
        <f>SUM(G67:H67)</f>
        <v>1187073.95</v>
      </c>
      <c r="J67" s="57">
        <f>I67/K67</f>
        <v>1187073.95</v>
      </c>
      <c r="K67" s="56">
        <v>1</v>
      </c>
      <c r="L67" s="57">
        <v>1</v>
      </c>
      <c r="M67" s="56">
        <f>SUM(K67:L67)</f>
        <v>2</v>
      </c>
      <c r="N67" s="58">
        <v>45453</v>
      </c>
      <c r="O67" s="59">
        <v>45817</v>
      </c>
      <c r="P67" s="56" t="str">
        <f>TEXT(N67, "mmmm")</f>
        <v>June</v>
      </c>
      <c r="Q67" s="56">
        <f>YEAR(N67)</f>
        <v>2024</v>
      </c>
      <c r="R67" s="56" t="s">
        <v>22</v>
      </c>
      <c r="S67" s="56" t="s">
        <v>34</v>
      </c>
      <c r="T67" s="47" t="s">
        <v>424</v>
      </c>
      <c r="U67" s="58">
        <v>45439</v>
      </c>
      <c r="V67" s="56">
        <f ca="1">TODAY()-N67</f>
        <v>126</v>
      </c>
      <c r="W67" s="56">
        <f>N67-U67</f>
        <v>14</v>
      </c>
      <c r="X67" s="55">
        <f>ROUND(L67/K67, 2)</f>
        <v>1</v>
      </c>
    </row>
    <row r="68" spans="1:24" ht="15.75" customHeight="1">
      <c r="A68" s="56" t="s">
        <v>108</v>
      </c>
      <c r="B68" s="62" t="s">
        <v>20</v>
      </c>
      <c r="C68" s="60" t="s">
        <v>422</v>
      </c>
      <c r="D68" s="57">
        <v>620086</v>
      </c>
      <c r="E68" s="57">
        <f>D68*5%</f>
        <v>31004.300000000003</v>
      </c>
      <c r="F68" s="57">
        <v>10000</v>
      </c>
      <c r="G68" s="57">
        <f>SUM(D68:F68)</f>
        <v>661090.30000000005</v>
      </c>
      <c r="H68" s="57">
        <v>0</v>
      </c>
      <c r="I68" s="57">
        <f>SUM(G68:H68)</f>
        <v>661090.30000000005</v>
      </c>
      <c r="J68" s="57">
        <f>I68/K68</f>
        <v>661090.30000000005</v>
      </c>
      <c r="K68" s="56">
        <v>1</v>
      </c>
      <c r="L68" s="57">
        <v>0</v>
      </c>
      <c r="M68" s="56">
        <v>1</v>
      </c>
      <c r="N68" s="65">
        <v>45485</v>
      </c>
      <c r="O68" s="66">
        <v>45849</v>
      </c>
      <c r="P68" s="56" t="str">
        <f>TEXT(N68, "mmmm")</f>
        <v>July</v>
      </c>
      <c r="Q68" s="56">
        <f>YEAR(N68)</f>
        <v>2024</v>
      </c>
      <c r="R68" s="56" t="s">
        <v>22</v>
      </c>
      <c r="S68" s="56" t="s">
        <v>34</v>
      </c>
      <c r="T68" s="47" t="s">
        <v>424</v>
      </c>
      <c r="U68" s="65">
        <v>45485</v>
      </c>
      <c r="V68" s="56">
        <f ca="1">TODAY()-N68</f>
        <v>94</v>
      </c>
      <c r="W68" s="56">
        <f>N68-U68</f>
        <v>0</v>
      </c>
      <c r="X68" s="55">
        <f>ROUND(L68/K68, 2)</f>
        <v>0</v>
      </c>
    </row>
    <row r="69" spans="1:24" ht="15.75" customHeight="1">
      <c r="A69" s="56" t="s">
        <v>125</v>
      </c>
      <c r="B69" s="62" t="s">
        <v>20</v>
      </c>
      <c r="C69" s="60" t="s">
        <v>422</v>
      </c>
      <c r="D69" s="57">
        <v>81852963</v>
      </c>
      <c r="E69" s="57">
        <f>D69*5%</f>
        <v>4092648.1500000004</v>
      </c>
      <c r="F69" s="57">
        <v>2210000</v>
      </c>
      <c r="G69" s="57">
        <f>SUM(D69:F69)</f>
        <v>88155611.150000006</v>
      </c>
      <c r="H69" s="57"/>
      <c r="I69" s="57">
        <f>SUM(G69:H69)</f>
        <v>88155611.150000006</v>
      </c>
      <c r="J69" s="57">
        <f>I69/K69</f>
        <v>199447.08404977378</v>
      </c>
      <c r="K69" s="56">
        <v>442</v>
      </c>
      <c r="L69" s="57">
        <v>0</v>
      </c>
      <c r="M69" s="56">
        <v>442</v>
      </c>
      <c r="N69" s="65">
        <v>45510</v>
      </c>
      <c r="O69" s="66">
        <v>45874</v>
      </c>
      <c r="P69" s="56" t="str">
        <f>TEXT(N69, "mmmm")</f>
        <v>August</v>
      </c>
      <c r="Q69" s="56">
        <f>YEAR(N69)</f>
        <v>2024</v>
      </c>
      <c r="R69" s="56" t="s">
        <v>22</v>
      </c>
      <c r="S69" s="56" t="s">
        <v>34</v>
      </c>
      <c r="T69" s="47" t="s">
        <v>424</v>
      </c>
      <c r="U69" s="65">
        <v>45476</v>
      </c>
      <c r="V69" s="56">
        <f ca="1">TODAY()-N69</f>
        <v>69</v>
      </c>
      <c r="W69" s="56">
        <f>N69-U69</f>
        <v>34</v>
      </c>
      <c r="X69" s="55">
        <f>ROUND(L69/K69, 2)</f>
        <v>0</v>
      </c>
    </row>
    <row r="70" spans="1:24" ht="15.75" customHeight="1">
      <c r="A70" s="56" t="s">
        <v>126</v>
      </c>
      <c r="B70" s="62" t="s">
        <v>20</v>
      </c>
      <c r="C70" s="60" t="s">
        <v>422</v>
      </c>
      <c r="D70" s="57">
        <v>7878987</v>
      </c>
      <c r="E70" s="57">
        <f>D70*5%</f>
        <v>393949.35000000003</v>
      </c>
      <c r="F70" s="57">
        <v>150000</v>
      </c>
      <c r="G70" s="57">
        <f>SUM(D70:F70)</f>
        <v>8422936.3499999996</v>
      </c>
      <c r="H70" s="57"/>
      <c r="I70" s="57">
        <f>SUM(G70:H70)</f>
        <v>8422936.3499999996</v>
      </c>
      <c r="J70" s="57">
        <f>I70/K70</f>
        <v>935881.81666666665</v>
      </c>
      <c r="K70" s="56">
        <v>9</v>
      </c>
      <c r="L70" s="57">
        <v>6</v>
      </c>
      <c r="M70" s="56">
        <v>15</v>
      </c>
      <c r="N70" s="65">
        <v>45512</v>
      </c>
      <c r="O70" s="66">
        <v>45876</v>
      </c>
      <c r="P70" s="56" t="str">
        <f>TEXT(N70, "mmmm")</f>
        <v>August</v>
      </c>
      <c r="Q70" s="56">
        <f>YEAR(N70)</f>
        <v>2024</v>
      </c>
      <c r="R70" s="56" t="s">
        <v>22</v>
      </c>
      <c r="S70" s="56" t="s">
        <v>34</v>
      </c>
      <c r="T70" s="47" t="s">
        <v>424</v>
      </c>
      <c r="U70" s="65">
        <v>45464</v>
      </c>
      <c r="V70" s="56">
        <f ca="1">TODAY()-N70</f>
        <v>67</v>
      </c>
      <c r="W70" s="56">
        <f>N70-U70</f>
        <v>48</v>
      </c>
      <c r="X70" s="55">
        <f>ROUND(L70/K70, 2)</f>
        <v>0.67</v>
      </c>
    </row>
    <row r="71" spans="1:24" ht="15.75" customHeight="1">
      <c r="A71" s="56" t="s">
        <v>134</v>
      </c>
      <c r="B71" s="62" t="s">
        <v>20</v>
      </c>
      <c r="C71" s="60" t="s">
        <v>422</v>
      </c>
      <c r="D71" s="57">
        <v>5141252</v>
      </c>
      <c r="E71" s="57">
        <f>D71*5%</f>
        <v>257062.6</v>
      </c>
      <c r="F71" s="57">
        <v>90000</v>
      </c>
      <c r="G71" s="57">
        <f>SUM(D71:F71)</f>
        <v>5488314.5999999996</v>
      </c>
      <c r="H71" s="57">
        <v>0</v>
      </c>
      <c r="I71" s="57">
        <f>SUM(G71:H71)</f>
        <v>5488314.5999999996</v>
      </c>
      <c r="J71" s="57">
        <f>I71/K71</f>
        <v>1829438.2</v>
      </c>
      <c r="K71" s="56">
        <v>3</v>
      </c>
      <c r="L71" s="57">
        <v>6</v>
      </c>
      <c r="M71" s="56">
        <v>9</v>
      </c>
      <c r="N71" s="65">
        <v>45536</v>
      </c>
      <c r="O71" s="66">
        <v>45900</v>
      </c>
      <c r="P71" s="56" t="str">
        <f>TEXT(N71, "mmmm")</f>
        <v>September</v>
      </c>
      <c r="Q71" s="56">
        <f>YEAR(N71)</f>
        <v>2024</v>
      </c>
      <c r="R71" s="56" t="s">
        <v>22</v>
      </c>
      <c r="S71" s="56" t="s">
        <v>34</v>
      </c>
      <c r="T71" s="47" t="s">
        <v>424</v>
      </c>
      <c r="U71" s="65">
        <v>45314</v>
      </c>
      <c r="V71" s="56"/>
      <c r="W71" s="56"/>
      <c r="X71" s="55">
        <f>ROUND(L71/K71, 2)</f>
        <v>2</v>
      </c>
    </row>
    <row r="72" spans="1:24" ht="15.75" customHeight="1">
      <c r="A72" s="61" t="s">
        <v>437</v>
      </c>
      <c r="B72" s="62" t="s">
        <v>20</v>
      </c>
      <c r="C72" s="60" t="s">
        <v>438</v>
      </c>
      <c r="D72" s="55"/>
      <c r="E72" s="55"/>
      <c r="F72" s="55"/>
      <c r="G72" s="55"/>
      <c r="H72" s="55"/>
      <c r="I72" s="67">
        <v>45546376</v>
      </c>
      <c r="J72" s="57">
        <f>I72/K72</f>
        <v>42887.359698681736</v>
      </c>
      <c r="K72" s="68">
        <v>1062</v>
      </c>
      <c r="L72" s="61">
        <v>0</v>
      </c>
      <c r="M72" s="68">
        <v>1062</v>
      </c>
      <c r="N72" s="69">
        <v>45536</v>
      </c>
      <c r="O72" s="69">
        <v>45657</v>
      </c>
      <c r="P72" s="56" t="str">
        <f>TEXT(N72, "mmmm")</f>
        <v>September</v>
      </c>
      <c r="Q72" s="56">
        <f>YEAR(N72)</f>
        <v>2024</v>
      </c>
      <c r="R72" s="61" t="s">
        <v>22</v>
      </c>
      <c r="S72" s="61" t="s">
        <v>34</v>
      </c>
      <c r="T72" s="47" t="s">
        <v>424</v>
      </c>
      <c r="U72" s="70"/>
      <c r="V72" s="70"/>
      <c r="W72" s="70"/>
      <c r="X72" s="70"/>
    </row>
    <row r="73" spans="1:24" ht="15.75" customHeight="1">
      <c r="A73" s="56" t="s">
        <v>62</v>
      </c>
      <c r="B73" s="56" t="s">
        <v>20</v>
      </c>
      <c r="C73" s="60" t="s">
        <v>422</v>
      </c>
      <c r="D73" s="57">
        <f>18705931+180981601</f>
        <v>199687532</v>
      </c>
      <c r="E73" s="57">
        <f>D73*5%</f>
        <v>9984376.5999999996</v>
      </c>
      <c r="F73" s="57">
        <f>520000+9990000</f>
        <v>10510000</v>
      </c>
      <c r="G73" s="57">
        <f>SUM(D73:F73)</f>
        <v>220181908.59999999</v>
      </c>
      <c r="H73" s="57">
        <v>0</v>
      </c>
      <c r="I73" s="57">
        <f>SUM(G73:H73)</f>
        <v>220181908.59999999</v>
      </c>
      <c r="J73" s="57">
        <f>I73/K73</f>
        <v>574887.48981723236</v>
      </c>
      <c r="K73" s="56">
        <v>383</v>
      </c>
      <c r="L73" s="57">
        <f>1051-383</f>
        <v>668</v>
      </c>
      <c r="M73" s="56">
        <f>SUM(K73:L73)</f>
        <v>1051</v>
      </c>
      <c r="N73" s="58">
        <v>45407</v>
      </c>
      <c r="O73" s="59">
        <v>45771</v>
      </c>
      <c r="P73" s="56" t="str">
        <f>TEXT(N73, "mmmm")</f>
        <v>April</v>
      </c>
      <c r="Q73" s="56">
        <f>YEAR(N73)</f>
        <v>2024</v>
      </c>
      <c r="R73" s="56" t="s">
        <v>26</v>
      </c>
      <c r="S73" s="56" t="s">
        <v>63</v>
      </c>
      <c r="T73" s="56"/>
      <c r="U73" s="58">
        <v>45384</v>
      </c>
      <c r="V73" s="56">
        <f ca="1">TODAY()-N73</f>
        <v>172</v>
      </c>
      <c r="W73" s="56">
        <f>N73-U73</f>
        <v>23</v>
      </c>
      <c r="X73" s="55">
        <f>ROUND(L73/K73, 2)</f>
        <v>1.74</v>
      </c>
    </row>
    <row r="74" spans="1:24" ht="15.75" customHeight="1">
      <c r="A74" s="56" t="s">
        <v>81</v>
      </c>
      <c r="B74" s="56" t="s">
        <v>20</v>
      </c>
      <c r="C74" s="60" t="s">
        <v>422</v>
      </c>
      <c r="D74" s="57">
        <v>58386990.541000001</v>
      </c>
      <c r="E74" s="57">
        <f>D74*5%</f>
        <v>2919349.5270500001</v>
      </c>
      <c r="F74" s="57">
        <v>1635000</v>
      </c>
      <c r="G74" s="57">
        <f>SUM(D74:F74)</f>
        <v>62941340.068050005</v>
      </c>
      <c r="H74" s="57">
        <v>0</v>
      </c>
      <c r="I74" s="57">
        <f>SUM(G74:H74)</f>
        <v>62941340.068050005</v>
      </c>
      <c r="J74" s="57">
        <f>I74/K74</f>
        <v>440149.23124510492</v>
      </c>
      <c r="K74" s="56">
        <v>143</v>
      </c>
      <c r="L74" s="57">
        <f>338-K74</f>
        <v>195</v>
      </c>
      <c r="M74" s="56">
        <f>SUM(K74:L74)</f>
        <v>338</v>
      </c>
      <c r="N74" s="58">
        <v>45444</v>
      </c>
      <c r="O74" s="59">
        <v>45808</v>
      </c>
      <c r="P74" s="56" t="str">
        <f>TEXT(N74, "mmmm")</f>
        <v>June</v>
      </c>
      <c r="Q74" s="56">
        <f>YEAR(N74)</f>
        <v>2024</v>
      </c>
      <c r="R74" s="56" t="s">
        <v>26</v>
      </c>
      <c r="S74" s="56" t="s">
        <v>63</v>
      </c>
      <c r="T74" s="56"/>
      <c r="U74" s="58">
        <v>45345</v>
      </c>
      <c r="V74" s="56">
        <f ca="1">TODAY()-N74</f>
        <v>135</v>
      </c>
      <c r="W74" s="56">
        <f>N74-U74</f>
        <v>99</v>
      </c>
      <c r="X74" s="55">
        <f>ROUND(L74/K74, 2)</f>
        <v>1.36</v>
      </c>
    </row>
    <row r="75" spans="1:24" ht="15.75" customHeight="1">
      <c r="A75" s="56" t="s">
        <v>121</v>
      </c>
      <c r="B75" s="62" t="s">
        <v>40</v>
      </c>
      <c r="C75" s="47" t="s">
        <v>421</v>
      </c>
      <c r="D75" s="57">
        <v>23221393</v>
      </c>
      <c r="E75" s="57">
        <f>D75*5%</f>
        <v>1161069.6500000001</v>
      </c>
      <c r="F75" s="57">
        <v>570000</v>
      </c>
      <c r="G75" s="57">
        <f>SUM(D75:F75)</f>
        <v>24952462.649999999</v>
      </c>
      <c r="H75" s="57">
        <v>0</v>
      </c>
      <c r="I75" s="57">
        <f>SUM(G75:H75)</f>
        <v>24952462.649999999</v>
      </c>
      <c r="J75" s="57">
        <f>I75/K75</f>
        <v>1084889.6804347825</v>
      </c>
      <c r="K75" s="56">
        <v>23</v>
      </c>
      <c r="L75" s="57">
        <v>34</v>
      </c>
      <c r="M75" s="56">
        <f>SUM(K75:L75)</f>
        <v>57</v>
      </c>
      <c r="N75" s="65">
        <v>45461</v>
      </c>
      <c r="O75" s="66">
        <v>45825</v>
      </c>
      <c r="P75" s="56" t="str">
        <f>TEXT(N75, "mmmm")</f>
        <v>June</v>
      </c>
      <c r="Q75" s="56">
        <f>YEAR(N75)</f>
        <v>2024</v>
      </c>
      <c r="R75" s="56" t="s">
        <v>26</v>
      </c>
      <c r="S75" s="56" t="s">
        <v>63</v>
      </c>
      <c r="T75" s="56"/>
      <c r="U75" s="65">
        <v>45444</v>
      </c>
      <c r="V75" s="56">
        <f ca="1">TODAY()-N75</f>
        <v>118</v>
      </c>
      <c r="W75" s="56">
        <f>N75-U75</f>
        <v>17</v>
      </c>
      <c r="X75" s="55">
        <f>ROUND(L75/K75, 2)</f>
        <v>1.48</v>
      </c>
    </row>
    <row r="76" spans="1:24" ht="15.75" customHeight="1">
      <c r="A76" s="56" t="s">
        <v>122</v>
      </c>
      <c r="B76" s="62" t="s">
        <v>40</v>
      </c>
      <c r="C76" s="47" t="s">
        <v>421</v>
      </c>
      <c r="D76" s="57">
        <v>2472532</v>
      </c>
      <c r="E76" s="57">
        <f>D76*5%</f>
        <v>123626.6</v>
      </c>
      <c r="F76" s="57">
        <v>70000</v>
      </c>
      <c r="G76" s="57">
        <f>SUM(D76:F76)</f>
        <v>2666158.6</v>
      </c>
      <c r="H76" s="57">
        <v>0</v>
      </c>
      <c r="I76" s="57">
        <f>SUM(G76:H76)</f>
        <v>2666158.6</v>
      </c>
      <c r="J76" s="57">
        <f>I76/K76</f>
        <v>1333079.3</v>
      </c>
      <c r="K76" s="56">
        <v>2</v>
      </c>
      <c r="L76" s="57">
        <v>5</v>
      </c>
      <c r="M76" s="56">
        <f>SUM(K76:L76)</f>
        <v>7</v>
      </c>
      <c r="N76" s="65">
        <v>45464</v>
      </c>
      <c r="O76" s="66">
        <v>45828</v>
      </c>
      <c r="P76" s="56" t="str">
        <f>TEXT(N76, "mmmm")</f>
        <v>June</v>
      </c>
      <c r="Q76" s="56">
        <f>YEAR(N76)</f>
        <v>2024</v>
      </c>
      <c r="R76" s="56" t="s">
        <v>26</v>
      </c>
      <c r="S76" s="56" t="s">
        <v>63</v>
      </c>
      <c r="T76" s="56"/>
      <c r="U76" s="65">
        <v>45462</v>
      </c>
      <c r="V76" s="56">
        <f ca="1">TODAY()-N76</f>
        <v>115</v>
      </c>
      <c r="W76" s="56">
        <f>N76-U76</f>
        <v>2</v>
      </c>
      <c r="X76" s="55">
        <f>ROUND(L76/K76, 2)</f>
        <v>2.5</v>
      </c>
    </row>
    <row r="77" spans="1:24" ht="15.75" customHeight="1">
      <c r="A77" s="56" t="s">
        <v>123</v>
      </c>
      <c r="B77" s="62" t="s">
        <v>40</v>
      </c>
      <c r="C77" s="47" t="s">
        <v>421</v>
      </c>
      <c r="D77" s="57">
        <v>6794224</v>
      </c>
      <c r="E77" s="57">
        <f>D77*5%</f>
        <v>339711.2</v>
      </c>
      <c r="F77" s="57">
        <v>70000</v>
      </c>
      <c r="G77" s="57">
        <f>SUM(D77:F77)</f>
        <v>7203935.2000000002</v>
      </c>
      <c r="H77" s="57">
        <v>0</v>
      </c>
      <c r="I77" s="57">
        <f>SUM(G77:H77)</f>
        <v>7203935.2000000002</v>
      </c>
      <c r="J77" s="57">
        <f>I77/K77</f>
        <v>1200655.8666666667</v>
      </c>
      <c r="K77" s="56">
        <v>6</v>
      </c>
      <c r="L77" s="57">
        <v>8</v>
      </c>
      <c r="M77" s="56">
        <f>SUM(K77:L77)</f>
        <v>14</v>
      </c>
      <c r="N77" s="65">
        <v>45459</v>
      </c>
      <c r="O77" s="66">
        <v>45823</v>
      </c>
      <c r="P77" s="56" t="str">
        <f>TEXT(N77, "mmmm")</f>
        <v>June</v>
      </c>
      <c r="Q77" s="56">
        <f>YEAR(N77)</f>
        <v>2024</v>
      </c>
      <c r="R77" s="56" t="s">
        <v>26</v>
      </c>
      <c r="S77" s="56" t="s">
        <v>63</v>
      </c>
      <c r="T77" s="56"/>
      <c r="U77" s="65">
        <v>45419</v>
      </c>
      <c r="V77" s="56">
        <f ca="1">TODAY()-N77</f>
        <v>120</v>
      </c>
      <c r="W77" s="56">
        <f>N77-U77</f>
        <v>40</v>
      </c>
      <c r="X77" s="55">
        <f>ROUND(L77/K77, 2)</f>
        <v>1.33</v>
      </c>
    </row>
    <row r="78" spans="1:24" ht="15.75" customHeight="1">
      <c r="A78" s="56" t="s">
        <v>131</v>
      </c>
      <c r="B78" s="62" t="s">
        <v>20</v>
      </c>
      <c r="C78" s="60" t="s">
        <v>422</v>
      </c>
      <c r="D78" s="57">
        <v>4486701</v>
      </c>
      <c r="E78" s="57">
        <f>D78*5%</f>
        <v>224335.05000000002</v>
      </c>
      <c r="F78" s="57">
        <v>55000</v>
      </c>
      <c r="G78" s="57">
        <f>SUM(D78:F78)</f>
        <v>4766036.05</v>
      </c>
      <c r="H78" s="57"/>
      <c r="I78" s="57">
        <f>SUM(G78:H78)</f>
        <v>4766036.05</v>
      </c>
      <c r="J78" s="57">
        <f>I78/K78</f>
        <v>953207.21</v>
      </c>
      <c r="K78" s="56">
        <v>5</v>
      </c>
      <c r="L78" s="57">
        <v>6</v>
      </c>
      <c r="M78" s="57">
        <f>K78+L78</f>
        <v>11</v>
      </c>
      <c r="N78" s="65">
        <v>45521</v>
      </c>
      <c r="O78" s="66">
        <v>45885</v>
      </c>
      <c r="P78" s="56" t="str">
        <f>TEXT(N78, "mmmm")</f>
        <v>August</v>
      </c>
      <c r="Q78" s="56">
        <f>YEAR(N78)</f>
        <v>2024</v>
      </c>
      <c r="R78" s="56" t="s">
        <v>22</v>
      </c>
      <c r="S78" s="56" t="s">
        <v>132</v>
      </c>
      <c r="T78" s="47" t="s">
        <v>424</v>
      </c>
      <c r="U78" s="65">
        <v>45475</v>
      </c>
      <c r="V78" s="56">
        <f ca="1">TODAY()-N78</f>
        <v>58</v>
      </c>
      <c r="W78" s="56">
        <f>N78-U78</f>
        <v>46</v>
      </c>
      <c r="X78" s="55">
        <f>ROUND(L78/K78, 2)</f>
        <v>1.2</v>
      </c>
    </row>
    <row r="79" spans="1:24" ht="15.75" customHeight="1">
      <c r="A79" s="56" t="s">
        <v>66</v>
      </c>
      <c r="B79" s="56" t="s">
        <v>40</v>
      </c>
      <c r="C79" s="47" t="s">
        <v>421</v>
      </c>
      <c r="D79" s="57">
        <v>3933752</v>
      </c>
      <c r="E79" s="57">
        <f>D79*5%</f>
        <v>196687.6</v>
      </c>
      <c r="F79" s="57">
        <v>80000</v>
      </c>
      <c r="G79" s="57">
        <f>SUM(D79:F79)</f>
        <v>4210439.5999999996</v>
      </c>
      <c r="H79" s="57">
        <v>0</v>
      </c>
      <c r="I79" s="57">
        <f>SUM(G79:H79)</f>
        <v>4210439.5999999996</v>
      </c>
      <c r="J79" s="57">
        <f>I79/K79</f>
        <v>601491.37142857141</v>
      </c>
      <c r="K79" s="56">
        <v>7</v>
      </c>
      <c r="L79" s="56">
        <v>1</v>
      </c>
      <c r="M79" s="56">
        <f>SUM(K79:L79)</f>
        <v>8</v>
      </c>
      <c r="N79" s="58">
        <v>45413</v>
      </c>
      <c r="O79" s="59" t="s">
        <v>67</v>
      </c>
      <c r="P79" s="56" t="str">
        <f>TEXT(N79, "mmmm")</f>
        <v>May</v>
      </c>
      <c r="Q79" s="56">
        <f>YEAR(N79)</f>
        <v>2024</v>
      </c>
      <c r="R79" s="56" t="s">
        <v>52</v>
      </c>
      <c r="S79" s="56" t="s">
        <v>68</v>
      </c>
      <c r="T79" s="56"/>
      <c r="U79" s="58"/>
      <c r="V79" s="56">
        <f ca="1">TODAY()-N79</f>
        <v>166</v>
      </c>
      <c r="W79" s="56">
        <f>N79-U79</f>
        <v>45413</v>
      </c>
      <c r="X79" s="55">
        <f>ROUND(L79/K79, 2)</f>
        <v>0.14000000000000001</v>
      </c>
    </row>
    <row r="80" spans="1:24" ht="15.75" customHeight="1">
      <c r="A80" s="56" t="s">
        <v>120</v>
      </c>
      <c r="B80" s="62" t="s">
        <v>40</v>
      </c>
      <c r="C80" s="47" t="s">
        <v>421</v>
      </c>
      <c r="D80" s="57">
        <v>22542225</v>
      </c>
      <c r="E80" s="57">
        <f>D80*5%</f>
        <v>1127111.25</v>
      </c>
      <c r="F80" s="57">
        <v>165000</v>
      </c>
      <c r="G80" s="57">
        <f>SUM(D80:F80)</f>
        <v>23834336.25</v>
      </c>
      <c r="H80" s="57">
        <v>0</v>
      </c>
      <c r="I80" s="57">
        <f>SUM(G80:H80)</f>
        <v>23834336.25</v>
      </c>
      <c r="J80" s="57">
        <f>I80/K80</f>
        <v>1191716.8125</v>
      </c>
      <c r="K80" s="56">
        <v>20</v>
      </c>
      <c r="L80" s="57">
        <v>13</v>
      </c>
      <c r="M80" s="56">
        <v>33</v>
      </c>
      <c r="N80" s="65">
        <v>45495</v>
      </c>
      <c r="O80" s="66">
        <v>45859</v>
      </c>
      <c r="P80" s="56" t="str">
        <f>TEXT(N80, "mmmm")</f>
        <v>July</v>
      </c>
      <c r="Q80" s="56">
        <f>YEAR(N80)</f>
        <v>2024</v>
      </c>
      <c r="R80" s="56" t="s">
        <v>52</v>
      </c>
      <c r="S80" s="56" t="s">
        <v>68</v>
      </c>
      <c r="T80" s="56"/>
      <c r="U80" s="65">
        <v>45444</v>
      </c>
      <c r="V80" s="56">
        <f ca="1">TODAY()-N80</f>
        <v>84</v>
      </c>
      <c r="W80" s="56">
        <f>N80-U80</f>
        <v>51</v>
      </c>
      <c r="X80" s="55">
        <f>ROUND(L80/K80, 2)</f>
        <v>0.65</v>
      </c>
    </row>
    <row r="81" spans="1:27" ht="15.75" customHeight="1">
      <c r="A81" s="61" t="s">
        <v>399</v>
      </c>
      <c r="B81" s="62" t="s">
        <v>40</v>
      </c>
      <c r="C81" s="47" t="s">
        <v>421</v>
      </c>
      <c r="D81" s="55"/>
      <c r="E81" s="55"/>
      <c r="F81" s="55"/>
      <c r="G81" s="55"/>
      <c r="H81" s="55"/>
      <c r="I81" s="67">
        <v>8934501</v>
      </c>
      <c r="J81" s="57">
        <f>I81/K81</f>
        <v>470236.89473684208</v>
      </c>
      <c r="K81" s="68">
        <v>19</v>
      </c>
      <c r="L81" s="61">
        <v>0</v>
      </c>
      <c r="M81" s="68">
        <v>19</v>
      </c>
      <c r="N81" s="69">
        <v>45474</v>
      </c>
      <c r="O81" s="69">
        <v>45838</v>
      </c>
      <c r="P81" s="56" t="str">
        <f>TEXT(N81, "mmmm")</f>
        <v>July</v>
      </c>
      <c r="Q81" s="56">
        <f>YEAR(N81)</f>
        <v>2024</v>
      </c>
      <c r="R81" s="56" t="s">
        <v>52</v>
      </c>
      <c r="S81" s="56" t="s">
        <v>68</v>
      </c>
      <c r="T81" s="56"/>
      <c r="U81" s="70"/>
      <c r="V81" s="56"/>
      <c r="W81" s="56"/>
      <c r="X81" s="55"/>
    </row>
    <row r="82" spans="1:27" ht="15.75" customHeight="1">
      <c r="A82" s="61" t="s">
        <v>439</v>
      </c>
      <c r="B82" s="56" t="s">
        <v>20</v>
      </c>
      <c r="C82" s="60" t="s">
        <v>422</v>
      </c>
      <c r="D82" s="57">
        <v>18273873</v>
      </c>
      <c r="E82" s="57">
        <f>D82*5%</f>
        <v>913693.65</v>
      </c>
      <c r="F82" s="57">
        <v>480000</v>
      </c>
      <c r="G82" s="57">
        <f>SUM(D82:F82)</f>
        <v>19667566.649999999</v>
      </c>
      <c r="H82" s="57"/>
      <c r="I82" s="57">
        <f>SUM(G82:H82)</f>
        <v>19667566.649999999</v>
      </c>
      <c r="J82" s="57">
        <f>I82/K82</f>
        <v>1311171.1099999999</v>
      </c>
      <c r="K82" s="56">
        <v>15</v>
      </c>
      <c r="L82" s="56">
        <v>33</v>
      </c>
      <c r="M82" s="56">
        <f>SUM(K82:L82)</f>
        <v>48</v>
      </c>
      <c r="N82" s="58">
        <v>45378</v>
      </c>
      <c r="O82" s="59">
        <v>45742</v>
      </c>
      <c r="P82" s="56" t="str">
        <f>TEXT(N82, "mmmm")</f>
        <v>March</v>
      </c>
      <c r="Q82" s="56">
        <f>YEAR(N82)</f>
        <v>2024</v>
      </c>
      <c r="R82" s="56" t="s">
        <v>22</v>
      </c>
      <c r="S82" s="56" t="s">
        <v>54</v>
      </c>
      <c r="T82" s="47" t="s">
        <v>427</v>
      </c>
      <c r="U82" s="58">
        <v>45373</v>
      </c>
      <c r="V82" s="56">
        <f ca="1">TODAY()-N82</f>
        <v>201</v>
      </c>
      <c r="W82" s="56">
        <f>N82-U82</f>
        <v>5</v>
      </c>
      <c r="X82" s="55">
        <f>ROUND(L82/K82, 2)</f>
        <v>2.2000000000000002</v>
      </c>
    </row>
    <row r="83" spans="1:27" ht="15.75" customHeight="1">
      <c r="A83" s="56" t="s">
        <v>59</v>
      </c>
      <c r="B83" s="56" t="s">
        <v>20</v>
      </c>
      <c r="C83" s="60" t="s">
        <v>422</v>
      </c>
      <c r="D83" s="57">
        <f>504665</f>
        <v>504665</v>
      </c>
      <c r="E83" s="57">
        <f>D83*5%</f>
        <v>25233.25</v>
      </c>
      <c r="F83" s="57">
        <v>10000</v>
      </c>
      <c r="G83" s="57">
        <f>SUM(D83:F83)</f>
        <v>539898.25</v>
      </c>
      <c r="H83" s="57">
        <v>0</v>
      </c>
      <c r="I83" s="57">
        <f>SUM(G83:H83)</f>
        <v>539898.25</v>
      </c>
      <c r="J83" s="57">
        <f>I83/K83</f>
        <v>539898.25</v>
      </c>
      <c r="K83" s="56">
        <v>1</v>
      </c>
      <c r="L83" s="56">
        <v>0</v>
      </c>
      <c r="M83" s="56">
        <f>SUM(K83:L83)</f>
        <v>1</v>
      </c>
      <c r="N83" s="58">
        <v>45392</v>
      </c>
      <c r="O83" s="59">
        <v>45756</v>
      </c>
      <c r="P83" s="56" t="str">
        <f>TEXT(N83, "mmmm")</f>
        <v>April</v>
      </c>
      <c r="Q83" s="56">
        <f>YEAR(N83)</f>
        <v>2024</v>
      </c>
      <c r="R83" s="56" t="s">
        <v>22</v>
      </c>
      <c r="S83" s="56" t="s">
        <v>54</v>
      </c>
      <c r="T83" s="47" t="s">
        <v>427</v>
      </c>
      <c r="U83" s="58">
        <v>45387</v>
      </c>
      <c r="V83" s="56">
        <f ca="1">TODAY()-N83</f>
        <v>187</v>
      </c>
      <c r="W83" s="56">
        <f>N83-U83</f>
        <v>5</v>
      </c>
      <c r="X83" s="55">
        <f>ROUND(L83/K83, 2)</f>
        <v>0</v>
      </c>
    </row>
    <row r="84" spans="1:27" ht="15.75" customHeight="1">
      <c r="A84" s="56" t="s">
        <v>51</v>
      </c>
      <c r="B84" s="56" t="s">
        <v>20</v>
      </c>
      <c r="C84" s="60" t="s">
        <v>422</v>
      </c>
      <c r="D84" s="57">
        <v>2197067</v>
      </c>
      <c r="E84" s="57">
        <f>D84*5%</f>
        <v>109853.35</v>
      </c>
      <c r="F84" s="57">
        <v>40000</v>
      </c>
      <c r="G84" s="57">
        <f>SUM(D84:F84)</f>
        <v>2346920.35</v>
      </c>
      <c r="H84" s="57">
        <v>0</v>
      </c>
      <c r="I84" s="57">
        <f>SUM(G84:H84)</f>
        <v>2346920.35</v>
      </c>
      <c r="J84" s="57">
        <f>I84/K84</f>
        <v>2346920.35</v>
      </c>
      <c r="K84" s="56">
        <v>1</v>
      </c>
      <c r="L84" s="56">
        <v>3</v>
      </c>
      <c r="M84" s="56">
        <f>SUM(K84:L84)</f>
        <v>4</v>
      </c>
      <c r="N84" s="58">
        <v>45371</v>
      </c>
      <c r="O84" s="59">
        <v>45735</v>
      </c>
      <c r="P84" s="56" t="str">
        <f>TEXT(N84, "mmmm")</f>
        <v>March</v>
      </c>
      <c r="Q84" s="56">
        <f>YEAR(N84)</f>
        <v>2024</v>
      </c>
      <c r="R84" s="56" t="s">
        <v>52</v>
      </c>
      <c r="S84" s="56" t="s">
        <v>53</v>
      </c>
      <c r="T84" s="56"/>
      <c r="U84" s="58">
        <v>45369</v>
      </c>
      <c r="V84" s="56">
        <f ca="1">TODAY()-N84</f>
        <v>208</v>
      </c>
      <c r="W84" s="56">
        <f>N84-U84</f>
        <v>2</v>
      </c>
      <c r="X84" s="55">
        <f>ROUND(L84/K84, 2)</f>
        <v>3</v>
      </c>
    </row>
    <row r="85" spans="1:27" ht="15.75" customHeight="1">
      <c r="A85" s="56" t="s">
        <v>124</v>
      </c>
      <c r="B85" s="62" t="s">
        <v>40</v>
      </c>
      <c r="C85" s="47" t="s">
        <v>421</v>
      </c>
      <c r="D85" s="57">
        <v>4936395</v>
      </c>
      <c r="E85" s="57">
        <f>D85*5%</f>
        <v>246819.75</v>
      </c>
      <c r="F85" s="57">
        <v>0</v>
      </c>
      <c r="G85" s="57">
        <f>SUM(D85:F85)</f>
        <v>5183214.75</v>
      </c>
      <c r="H85" s="57">
        <f>180000+15000+2700+7500000+810000+145800</f>
        <v>8653500</v>
      </c>
      <c r="I85" s="57">
        <f>SUM(G85:H85)</f>
        <v>13836714.75</v>
      </c>
      <c r="J85" s="57">
        <f>I85/K85</f>
        <v>432397.3359375</v>
      </c>
      <c r="K85" s="56">
        <v>32</v>
      </c>
      <c r="L85" s="57">
        <f>55-32</f>
        <v>23</v>
      </c>
      <c r="M85" s="56">
        <f>SUM(K85:L85)</f>
        <v>55</v>
      </c>
      <c r="N85" s="65">
        <v>45439</v>
      </c>
      <c r="O85" s="66">
        <v>45803</v>
      </c>
      <c r="P85" s="56" t="str">
        <f>TEXT(N85, "mmmm")</f>
        <v>May</v>
      </c>
      <c r="Q85" s="56">
        <f>YEAR(N85)</f>
        <v>2024</v>
      </c>
      <c r="R85" s="56" t="s">
        <v>52</v>
      </c>
      <c r="S85" s="56" t="s">
        <v>53</v>
      </c>
      <c r="T85" s="56"/>
      <c r="U85" s="65">
        <v>45379</v>
      </c>
      <c r="V85" s="56">
        <f ca="1">TODAY()-N85</f>
        <v>140</v>
      </c>
      <c r="W85" s="56">
        <f>N85-U85</f>
        <v>60</v>
      </c>
      <c r="X85" s="55">
        <f>ROUND(L85/K85, 2)</f>
        <v>0.72</v>
      </c>
    </row>
    <row r="86" spans="1:27" ht="15.75" customHeight="1">
      <c r="A86" s="56" t="s">
        <v>129</v>
      </c>
      <c r="B86" s="62" t="s">
        <v>40</v>
      </c>
      <c r="C86" s="47" t="s">
        <v>421</v>
      </c>
      <c r="D86" s="57">
        <v>10810931</v>
      </c>
      <c r="E86" s="57">
        <f>D86*5%</f>
        <v>540546.55000000005</v>
      </c>
      <c r="F86" s="57">
        <v>330000</v>
      </c>
      <c r="G86" s="57">
        <f>SUM(D86:F86)</f>
        <v>11681477.550000001</v>
      </c>
      <c r="H86" s="57"/>
      <c r="I86" s="57">
        <f>SUM(G86:H86)</f>
        <v>11681477.550000001</v>
      </c>
      <c r="J86" s="57">
        <f>I86/K86</f>
        <v>834391.25357142859</v>
      </c>
      <c r="K86" s="56">
        <v>14</v>
      </c>
      <c r="L86" s="57">
        <v>19</v>
      </c>
      <c r="M86" s="56">
        <v>33</v>
      </c>
      <c r="N86" s="65">
        <v>45519</v>
      </c>
      <c r="O86" s="66">
        <v>45883</v>
      </c>
      <c r="P86" s="56" t="str">
        <f>TEXT(N86, "mmmm")</f>
        <v>August</v>
      </c>
      <c r="Q86" s="56">
        <f>YEAR(N86)</f>
        <v>2024</v>
      </c>
      <c r="R86" s="56" t="s">
        <v>26</v>
      </c>
      <c r="S86" s="56" t="s">
        <v>130</v>
      </c>
      <c r="T86" s="56"/>
      <c r="U86" s="65">
        <v>45511</v>
      </c>
      <c r="V86" s="56">
        <f ca="1">TODAY()-N86</f>
        <v>60</v>
      </c>
      <c r="W86" s="56">
        <f>N86-U86</f>
        <v>8</v>
      </c>
      <c r="X86" s="55">
        <f>ROUND(L86/K86, 2)</f>
        <v>1.36</v>
      </c>
    </row>
    <row r="87" spans="1:27" ht="15.75" customHeight="1">
      <c r="A87" s="56" t="s">
        <v>74</v>
      </c>
      <c r="B87" s="56" t="s">
        <v>20</v>
      </c>
      <c r="C87" s="60" t="s">
        <v>422</v>
      </c>
      <c r="D87" s="57">
        <v>3897152</v>
      </c>
      <c r="E87" s="57">
        <f>D87*5%</f>
        <v>194857.60000000001</v>
      </c>
      <c r="F87" s="57">
        <v>70000</v>
      </c>
      <c r="G87" s="57">
        <f>SUM(D87:F87)</f>
        <v>4162009.6</v>
      </c>
      <c r="H87" s="57">
        <v>0</v>
      </c>
      <c r="I87" s="57">
        <f>SUM(G87:H87)</f>
        <v>4162009.6</v>
      </c>
      <c r="J87" s="57">
        <f>I87/K87</f>
        <v>594572.80000000005</v>
      </c>
      <c r="K87" s="56">
        <v>7</v>
      </c>
      <c r="L87" s="56">
        <v>0</v>
      </c>
      <c r="M87" s="56">
        <f>SUM(K87:L87)</f>
        <v>7</v>
      </c>
      <c r="N87" s="58">
        <v>45426</v>
      </c>
      <c r="O87" s="59">
        <v>45790</v>
      </c>
      <c r="P87" s="56" t="str">
        <f>TEXT(N87, "mmmm")</f>
        <v>May</v>
      </c>
      <c r="Q87" s="56">
        <f>YEAR(N87)</f>
        <v>2024</v>
      </c>
      <c r="R87" s="56" t="s">
        <v>22</v>
      </c>
      <c r="S87" s="56" t="s">
        <v>75</v>
      </c>
      <c r="T87" s="47" t="s">
        <v>425</v>
      </c>
      <c r="U87" s="58">
        <v>45411</v>
      </c>
      <c r="V87" s="56">
        <f ca="1">TODAY()-N87</f>
        <v>153</v>
      </c>
      <c r="W87" s="56">
        <f>N87-U87</f>
        <v>15</v>
      </c>
      <c r="X87" s="55">
        <f>ROUND(L87/K87, 2)</f>
        <v>0</v>
      </c>
    </row>
    <row r="88" spans="1:27" ht="15.75" customHeight="1">
      <c r="A88" s="56" t="s">
        <v>64</v>
      </c>
      <c r="B88" s="56" t="s">
        <v>20</v>
      </c>
      <c r="C88" s="60" t="s">
        <v>422</v>
      </c>
      <c r="D88" s="57">
        <f>3751469+63432644</f>
        <v>67184113</v>
      </c>
      <c r="E88" s="57">
        <f>D88*5%</f>
        <v>3359205.6500000004</v>
      </c>
      <c r="F88" s="57">
        <f>845000+45000</f>
        <v>890000</v>
      </c>
      <c r="G88" s="57">
        <f>SUM(D88:F88)</f>
        <v>71433318.650000006</v>
      </c>
      <c r="H88" s="57">
        <v>0</v>
      </c>
      <c r="I88" s="57">
        <f>SUM(G88:H88)</f>
        <v>71433318.650000006</v>
      </c>
      <c r="J88" s="57">
        <f>I88/K88</f>
        <v>830619.98430232564</v>
      </c>
      <c r="K88" s="56">
        <v>86</v>
      </c>
      <c r="L88" s="57">
        <f>178-86</f>
        <v>92</v>
      </c>
      <c r="M88" s="56">
        <f>SUM(K88:L88)</f>
        <v>178</v>
      </c>
      <c r="N88" s="58">
        <v>45410</v>
      </c>
      <c r="O88" s="59">
        <v>45774</v>
      </c>
      <c r="P88" s="56" t="str">
        <f>TEXT(N88, "mmmm")</f>
        <v>April</v>
      </c>
      <c r="Q88" s="56">
        <f>YEAR(N88)</f>
        <v>2024</v>
      </c>
      <c r="R88" s="56" t="s">
        <v>26</v>
      </c>
      <c r="S88" s="56" t="s">
        <v>65</v>
      </c>
      <c r="T88" s="56"/>
      <c r="U88" s="58">
        <v>45384</v>
      </c>
      <c r="V88" s="56">
        <f ca="1">TODAY()-N88</f>
        <v>169</v>
      </c>
      <c r="W88" s="56">
        <f>N88-U88</f>
        <v>26</v>
      </c>
      <c r="X88" s="55">
        <f>ROUND(L88/K88, 2)</f>
        <v>1.07</v>
      </c>
    </row>
    <row r="89" spans="1:27" ht="15.75" customHeight="1">
      <c r="A89" s="62" t="s">
        <v>101</v>
      </c>
      <c r="B89" s="62" t="s">
        <v>20</v>
      </c>
      <c r="C89" s="60" t="s">
        <v>422</v>
      </c>
      <c r="D89" s="63">
        <v>464822</v>
      </c>
      <c r="E89" s="57">
        <f>D89*5%</f>
        <v>23241.100000000002</v>
      </c>
      <c r="F89" s="63">
        <v>10000</v>
      </c>
      <c r="G89" s="57">
        <f>SUM(D89:F89)</f>
        <v>498063.1</v>
      </c>
      <c r="H89" s="63"/>
      <c r="I89" s="57">
        <f>SUM(G89:H89)</f>
        <v>498063.1</v>
      </c>
      <c r="J89" s="57">
        <f>I89/K89</f>
        <v>498063.1</v>
      </c>
      <c r="K89" s="64">
        <v>1</v>
      </c>
      <c r="L89" s="63" t="s">
        <v>100</v>
      </c>
      <c r="M89" s="64">
        <v>1</v>
      </c>
      <c r="N89" s="65">
        <v>45468</v>
      </c>
      <c r="O89" s="66">
        <v>45832</v>
      </c>
      <c r="P89" s="56" t="str">
        <f>TEXT(N89, "mmmm")</f>
        <v>June</v>
      </c>
      <c r="Q89" s="56">
        <f>YEAR(N89)</f>
        <v>2024</v>
      </c>
      <c r="R89" s="62" t="s">
        <v>22</v>
      </c>
      <c r="S89" s="62" t="s">
        <v>102</v>
      </c>
      <c r="T89" s="47" t="s">
        <v>427</v>
      </c>
      <c r="U89" s="65">
        <v>45455</v>
      </c>
      <c r="V89" s="56">
        <f ca="1">TODAY()-N89</f>
        <v>111</v>
      </c>
      <c r="W89" s="56">
        <f>N89-U89</f>
        <v>13</v>
      </c>
      <c r="X89" s="55" t="e">
        <f>ROUND(L89/K89, 2)</f>
        <v>#VALUE!</v>
      </c>
    </row>
    <row r="90" spans="1:27" ht="15.75" customHeight="1">
      <c r="A90" s="56" t="s">
        <v>111</v>
      </c>
      <c r="B90" s="62" t="s">
        <v>20</v>
      </c>
      <c r="C90" s="60" t="s">
        <v>422</v>
      </c>
      <c r="D90" s="57">
        <v>2206440</v>
      </c>
      <c r="E90" s="57">
        <f>D90*5%</f>
        <v>110322</v>
      </c>
      <c r="F90" s="57">
        <v>40000</v>
      </c>
      <c r="G90" s="57">
        <f>SUM(D90:F90)</f>
        <v>2356762</v>
      </c>
      <c r="H90" s="57">
        <v>0</v>
      </c>
      <c r="I90" s="57">
        <f>SUM(G90:H90)</f>
        <v>2356762</v>
      </c>
      <c r="J90" s="57">
        <f>I90/K90</f>
        <v>2356762</v>
      </c>
      <c r="K90" s="56">
        <v>1</v>
      </c>
      <c r="L90" s="57">
        <v>3</v>
      </c>
      <c r="M90" s="56">
        <v>4</v>
      </c>
      <c r="N90" s="65">
        <v>45492</v>
      </c>
      <c r="O90" s="66">
        <v>45856</v>
      </c>
      <c r="P90" s="56" t="str">
        <f>TEXT(N90, "mmmm")</f>
        <v>July</v>
      </c>
      <c r="Q90" s="56">
        <f>YEAR(N90)</f>
        <v>2024</v>
      </c>
      <c r="R90" s="56" t="s">
        <v>22</v>
      </c>
      <c r="S90" s="56" t="s">
        <v>102</v>
      </c>
      <c r="T90" s="47" t="s">
        <v>427</v>
      </c>
      <c r="U90" s="65">
        <v>45481</v>
      </c>
      <c r="V90" s="56">
        <f ca="1">TODAY()-N90</f>
        <v>87</v>
      </c>
      <c r="W90" s="56">
        <f>N90-U90</f>
        <v>11</v>
      </c>
      <c r="X90" s="55">
        <f>ROUND(L90/K90, 2)</f>
        <v>3</v>
      </c>
    </row>
    <row r="91" spans="1:27" ht="15" customHeight="1">
      <c r="A91" s="56" t="s">
        <v>25</v>
      </c>
      <c r="B91" s="56" t="s">
        <v>20</v>
      </c>
      <c r="C91" s="60" t="s">
        <v>422</v>
      </c>
      <c r="D91" s="57">
        <v>21256481</v>
      </c>
      <c r="E91" s="57">
        <f>D91*5%</f>
        <v>1062824.05</v>
      </c>
      <c r="F91" s="57">
        <v>590000</v>
      </c>
      <c r="G91" s="57">
        <f>SUM(D91:F91)</f>
        <v>22909305.050000001</v>
      </c>
      <c r="H91" s="57">
        <v>0</v>
      </c>
      <c r="I91" s="57">
        <f>SUM(G91:H91)</f>
        <v>22909305.050000001</v>
      </c>
      <c r="J91" s="57">
        <f>I91/K91</f>
        <v>1041332.0477272727</v>
      </c>
      <c r="K91" s="56">
        <v>22</v>
      </c>
      <c r="L91" s="56">
        <v>37</v>
      </c>
      <c r="M91" s="56">
        <f>SUM(K91:L91)</f>
        <v>59</v>
      </c>
      <c r="N91" s="58">
        <v>45301</v>
      </c>
      <c r="O91" s="59">
        <v>45666</v>
      </c>
      <c r="P91" s="56" t="str">
        <f>TEXT(N91, "mmmm")</f>
        <v>January</v>
      </c>
      <c r="Q91" s="56">
        <f>YEAR(N91)</f>
        <v>2024</v>
      </c>
      <c r="R91" s="56" t="s">
        <v>26</v>
      </c>
      <c r="S91" s="56" t="s">
        <v>27</v>
      </c>
      <c r="T91" s="56"/>
      <c r="U91" s="58">
        <v>45224</v>
      </c>
      <c r="V91" s="56">
        <f ca="1">TODAY()-N91</f>
        <v>278</v>
      </c>
      <c r="W91" s="56">
        <f>N91-U91</f>
        <v>77</v>
      </c>
      <c r="X91" s="55">
        <f>ROUND(L91/K91, 2)</f>
        <v>1.68</v>
      </c>
      <c r="Y91" s="48"/>
      <c r="Z91" s="48"/>
      <c r="AA91" s="48"/>
    </row>
    <row r="92" spans="1:27" ht="15" customHeight="1">
      <c r="A92" s="56" t="s">
        <v>110</v>
      </c>
      <c r="B92" s="62" t="s">
        <v>20</v>
      </c>
      <c r="C92" s="60" t="s">
        <v>422</v>
      </c>
      <c r="D92" s="57">
        <v>64200983</v>
      </c>
      <c r="E92" s="57">
        <f>D92*5%</f>
        <v>3210049.1500000004</v>
      </c>
      <c r="F92" s="57">
        <v>790000</v>
      </c>
      <c r="G92" s="57">
        <f>SUM(D92:F92)</f>
        <v>68201032.150000006</v>
      </c>
      <c r="H92" s="57">
        <v>0</v>
      </c>
      <c r="I92" s="57">
        <f>SUM(G92:H92)</f>
        <v>68201032.150000006</v>
      </c>
      <c r="J92" s="57">
        <f>I92/K92</f>
        <v>885727.69025974034</v>
      </c>
      <c r="K92" s="56">
        <v>77</v>
      </c>
      <c r="L92" s="57">
        <v>81</v>
      </c>
      <c r="M92" s="56">
        <f>SUM(K92:L92)</f>
        <v>158</v>
      </c>
      <c r="N92" s="65">
        <v>45489</v>
      </c>
      <c r="O92" s="66">
        <v>45853</v>
      </c>
      <c r="P92" s="56" t="str">
        <f>TEXT(N92, "mmmm")</f>
        <v>July</v>
      </c>
      <c r="Q92" s="56">
        <f>YEAR(N92)</f>
        <v>2024</v>
      </c>
      <c r="R92" s="56" t="s">
        <v>26</v>
      </c>
      <c r="S92" s="56" t="s">
        <v>27</v>
      </c>
      <c r="T92" s="56"/>
      <c r="U92" s="65">
        <v>45475</v>
      </c>
      <c r="V92" s="56">
        <f ca="1">TODAY()-N92</f>
        <v>90</v>
      </c>
      <c r="W92" s="56">
        <f>N92-U92</f>
        <v>14</v>
      </c>
      <c r="X92" s="55">
        <f>ROUND(L92/K92, 2)</f>
        <v>1.05</v>
      </c>
      <c r="Y92" s="48"/>
      <c r="Z92" s="48"/>
      <c r="AA92" s="48"/>
    </row>
    <row r="93" spans="1:27" ht="15.75" customHeight="1">
      <c r="I93" s="71"/>
    </row>
    <row r="94" spans="1:27" ht="15.75" customHeight="1"/>
    <row r="95" spans="1:27" ht="15.75" customHeight="1"/>
    <row r="96" spans="1:27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</sheetData>
  <autoFilter ref="A2:AC90" xr:uid="{00000000-0009-0000-0000-000000000000}"/>
  <sortState xmlns:xlrd2="http://schemas.microsoft.com/office/spreadsheetml/2017/richdata2" ref="A2:X1055">
    <sortCondition ref="S2:S1055"/>
  </sortState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020A-F043-40FF-8E95-E22C3018C7E1}">
  <dimension ref="A1:C19"/>
  <sheetViews>
    <sheetView workbookViewId="0">
      <selection activeCell="E19" sqref="E19"/>
    </sheetView>
  </sheetViews>
  <sheetFormatPr defaultRowHeight="15"/>
  <cols>
    <col min="1" max="1" width="30" style="39" customWidth="1"/>
    <col min="2" max="2" width="10.85546875" style="39" bestFit="1" customWidth="1"/>
    <col min="3" max="3" width="12.28515625" style="39" bestFit="1" customWidth="1"/>
    <col min="4" max="16384" width="9.140625" style="39"/>
  </cols>
  <sheetData>
    <row r="1" spans="1:3">
      <c r="A1" s="46" t="s">
        <v>429</v>
      </c>
      <c r="B1" s="46" t="s">
        <v>435</v>
      </c>
      <c r="C1" s="46" t="s">
        <v>436</v>
      </c>
    </row>
    <row r="2" spans="1:3">
      <c r="A2" s="47" t="s">
        <v>423</v>
      </c>
      <c r="B2" s="47" t="s">
        <v>421</v>
      </c>
      <c r="C2" s="47">
        <v>119881450</v>
      </c>
    </row>
    <row r="3" spans="1:3">
      <c r="A3" s="47" t="s">
        <v>423</v>
      </c>
      <c r="B3" s="47" t="s">
        <v>422</v>
      </c>
      <c r="C3" s="47">
        <v>600000000</v>
      </c>
    </row>
    <row r="4" spans="1:3">
      <c r="A4" s="47" t="s">
        <v>423</v>
      </c>
      <c r="B4" s="47" t="s">
        <v>438</v>
      </c>
      <c r="C4" s="47">
        <v>400000000</v>
      </c>
    </row>
    <row r="5" spans="1:3">
      <c r="A5" s="47" t="s">
        <v>424</v>
      </c>
      <c r="B5" s="47" t="s">
        <v>421</v>
      </c>
      <c r="C5" s="47">
        <v>119881450</v>
      </c>
    </row>
    <row r="6" spans="1:3">
      <c r="A6" s="47" t="s">
        <v>424</v>
      </c>
      <c r="B6" s="47" t="s">
        <v>422</v>
      </c>
      <c r="C6" s="47">
        <v>1200000000</v>
      </c>
    </row>
    <row r="7" spans="1:3">
      <c r="A7" s="47" t="s">
        <v>424</v>
      </c>
      <c r="B7" s="47" t="s">
        <v>438</v>
      </c>
      <c r="C7" s="47">
        <v>500000000</v>
      </c>
    </row>
    <row r="8" spans="1:3">
      <c r="A8" s="47" t="s">
        <v>425</v>
      </c>
      <c r="B8" s="47" t="s">
        <v>421</v>
      </c>
      <c r="C8" s="47">
        <v>119881450</v>
      </c>
    </row>
    <row r="9" spans="1:3">
      <c r="A9" s="47" t="s">
        <v>425</v>
      </c>
      <c r="B9" s="47" t="s">
        <v>422</v>
      </c>
      <c r="C9" s="47">
        <v>1200000000</v>
      </c>
    </row>
    <row r="10" spans="1:3">
      <c r="A10" s="47" t="s">
        <v>425</v>
      </c>
      <c r="B10" s="47" t="s">
        <v>438</v>
      </c>
      <c r="C10" s="47">
        <v>500000000</v>
      </c>
    </row>
    <row r="11" spans="1:3">
      <c r="A11" s="47" t="s">
        <v>426</v>
      </c>
      <c r="B11" s="47" t="s">
        <v>421</v>
      </c>
      <c r="C11" s="47">
        <v>119881450</v>
      </c>
    </row>
    <row r="12" spans="1:3">
      <c r="A12" s="47" t="s">
        <v>426</v>
      </c>
      <c r="B12" s="47" t="s">
        <v>422</v>
      </c>
      <c r="C12" s="47">
        <v>1200000000</v>
      </c>
    </row>
    <row r="13" spans="1:3">
      <c r="A13" s="47" t="s">
        <v>426</v>
      </c>
      <c r="B13" s="47" t="s">
        <v>438</v>
      </c>
      <c r="C13" s="47">
        <v>200000000</v>
      </c>
    </row>
    <row r="14" spans="1:3">
      <c r="A14" s="47" t="s">
        <v>427</v>
      </c>
      <c r="B14" s="47" t="s">
        <v>421</v>
      </c>
      <c r="C14" s="47">
        <v>119881450</v>
      </c>
    </row>
    <row r="15" spans="1:3">
      <c r="A15" s="47" t="s">
        <v>427</v>
      </c>
      <c r="B15" s="47" t="s">
        <v>422</v>
      </c>
      <c r="C15" s="47">
        <v>1050000000</v>
      </c>
    </row>
    <row r="16" spans="1:3">
      <c r="A16" s="47" t="s">
        <v>427</v>
      </c>
      <c r="B16" s="47" t="s">
        <v>438</v>
      </c>
      <c r="C16" s="47">
        <v>200000000</v>
      </c>
    </row>
    <row r="17" spans="1:3">
      <c r="A17" s="47" t="s">
        <v>428</v>
      </c>
      <c r="B17" s="47" t="s">
        <v>421</v>
      </c>
      <c r="C17" s="47">
        <v>119881450</v>
      </c>
    </row>
    <row r="18" spans="1:3">
      <c r="A18" s="47" t="s">
        <v>428</v>
      </c>
      <c r="B18" s="47" t="s">
        <v>422</v>
      </c>
      <c r="C18" s="47">
        <v>1050000000</v>
      </c>
    </row>
    <row r="19" spans="1:3">
      <c r="A19" s="47" t="s">
        <v>428</v>
      </c>
      <c r="B19" s="47" t="s">
        <v>438</v>
      </c>
      <c r="C19" s="47">
        <v>200000000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8"/>
  <sheetViews>
    <sheetView topLeftCell="B1" workbookViewId="0">
      <selection activeCell="D1" sqref="D1"/>
    </sheetView>
  </sheetViews>
  <sheetFormatPr defaultColWidth="14.42578125" defaultRowHeight="15" customHeight="1"/>
  <cols>
    <col min="1" max="1" width="49.5703125" customWidth="1"/>
    <col min="2" max="2" width="39.7109375" customWidth="1"/>
    <col min="3" max="3" width="42.85546875" customWidth="1"/>
    <col min="4" max="4" width="13.140625" style="38" customWidth="1"/>
    <col min="5" max="6" width="13.140625" customWidth="1"/>
    <col min="7" max="7" width="22.85546875" customWidth="1"/>
    <col min="8" max="8" width="8.7109375" customWidth="1"/>
    <col min="9" max="9" width="20.140625" customWidth="1"/>
    <col min="10" max="10" width="21.7109375" customWidth="1"/>
    <col min="11" max="11" width="11.85546875" customWidth="1"/>
    <col min="12" max="12" width="10.140625" customWidth="1"/>
    <col min="13" max="13" width="17.5703125" customWidth="1"/>
    <col min="14" max="15" width="14.28515625" customWidth="1"/>
    <col min="16" max="16" width="28.28515625" customWidth="1"/>
    <col min="17" max="27" width="8.7109375" customWidth="1"/>
  </cols>
  <sheetData>
    <row r="1" spans="1:17">
      <c r="A1" s="1" t="s">
        <v>135</v>
      </c>
      <c r="B1" s="1" t="s">
        <v>15</v>
      </c>
      <c r="C1" s="1" t="s">
        <v>136</v>
      </c>
      <c r="D1" s="72" t="s">
        <v>12</v>
      </c>
      <c r="E1" s="40" t="s">
        <v>431</v>
      </c>
      <c r="F1" s="40" t="s">
        <v>432</v>
      </c>
      <c r="G1" s="1" t="s">
        <v>13</v>
      </c>
      <c r="H1" s="2" t="s">
        <v>137</v>
      </c>
      <c r="I1" s="2" t="s">
        <v>138</v>
      </c>
      <c r="J1" s="2" t="s">
        <v>139</v>
      </c>
      <c r="K1" s="2" t="s">
        <v>140</v>
      </c>
      <c r="L1" s="2" t="s">
        <v>141</v>
      </c>
      <c r="M1" s="2" t="s">
        <v>7</v>
      </c>
    </row>
    <row r="2" spans="1:17" ht="16.5">
      <c r="A2" s="6" t="s">
        <v>142</v>
      </c>
      <c r="B2" s="6" t="s">
        <v>26</v>
      </c>
      <c r="C2" s="6" t="s">
        <v>143</v>
      </c>
      <c r="D2" s="42">
        <v>45261</v>
      </c>
      <c r="E2" s="13" t="str">
        <f>TEXT(D2, "mmmm")</f>
        <v>December</v>
      </c>
      <c r="F2" s="13">
        <f>YEAR(D2)</f>
        <v>2023</v>
      </c>
      <c r="G2" s="13">
        <v>45510</v>
      </c>
      <c r="H2" s="14">
        <f t="shared" ref="H2:H18" si="0">G2-D2+1</f>
        <v>250</v>
      </c>
      <c r="I2" s="7">
        <v>1059466</v>
      </c>
      <c r="J2" s="7">
        <f t="shared" ref="J2:J17" si="1">I2*H2/365</f>
        <v>725661.64383561641</v>
      </c>
      <c r="K2" s="7">
        <f t="shared" ref="K2:K117" si="2">J2*5%</f>
        <v>36283.082191780821</v>
      </c>
      <c r="L2" s="7">
        <v>40000</v>
      </c>
      <c r="M2" s="7">
        <f t="shared" ref="M2:M117" si="3">SUM(J2:L2)</f>
        <v>801944.72602739721</v>
      </c>
      <c r="Q2" s="15"/>
    </row>
    <row r="3" spans="1:17" ht="16.5">
      <c r="A3" s="6" t="s">
        <v>144</v>
      </c>
      <c r="B3" s="6" t="s">
        <v>22</v>
      </c>
      <c r="C3" s="6" t="s">
        <v>145</v>
      </c>
      <c r="D3" s="42">
        <v>45079</v>
      </c>
      <c r="E3" s="13" t="str">
        <f t="shared" ref="E3:E66" si="4">TEXT(D3, "mmmm")</f>
        <v>June</v>
      </c>
      <c r="F3" s="13"/>
      <c r="G3" s="13">
        <v>45395</v>
      </c>
      <c r="H3" s="14">
        <f t="shared" si="0"/>
        <v>317</v>
      </c>
      <c r="I3" s="7">
        <v>117041</v>
      </c>
      <c r="J3" s="7">
        <f t="shared" si="1"/>
        <v>101649.30684931506</v>
      </c>
      <c r="K3" s="7">
        <f t="shared" si="2"/>
        <v>5082.4653424657536</v>
      </c>
      <c r="L3" s="7">
        <v>5000</v>
      </c>
      <c r="M3" s="7">
        <f t="shared" si="3"/>
        <v>111731.77219178082</v>
      </c>
      <c r="Q3" s="15"/>
    </row>
    <row r="4" spans="1:17" ht="16.5">
      <c r="A4" s="6" t="s">
        <v>144</v>
      </c>
      <c r="B4" s="6" t="s">
        <v>22</v>
      </c>
      <c r="C4" s="6" t="s">
        <v>146</v>
      </c>
      <c r="D4" s="42">
        <v>45079</v>
      </c>
      <c r="E4" s="13" t="str">
        <f t="shared" si="4"/>
        <v>June</v>
      </c>
      <c r="F4" s="13"/>
      <c r="G4" s="13">
        <v>45395</v>
      </c>
      <c r="H4" s="14">
        <f t="shared" si="0"/>
        <v>317</v>
      </c>
      <c r="I4" s="7">
        <v>117041</v>
      </c>
      <c r="J4" s="7">
        <f t="shared" si="1"/>
        <v>101649.30684931506</v>
      </c>
      <c r="K4" s="7">
        <f t="shared" si="2"/>
        <v>5082.4653424657536</v>
      </c>
      <c r="L4" s="7">
        <v>5000</v>
      </c>
      <c r="M4" s="7">
        <f t="shared" si="3"/>
        <v>111731.77219178082</v>
      </c>
      <c r="Q4" s="15"/>
    </row>
    <row r="5" spans="1:17" ht="16.5">
      <c r="A5" s="6" t="s">
        <v>144</v>
      </c>
      <c r="B5" s="6" t="s">
        <v>22</v>
      </c>
      <c r="C5" s="6" t="s">
        <v>147</v>
      </c>
      <c r="D5" s="42">
        <v>45079</v>
      </c>
      <c r="E5" s="13" t="str">
        <f t="shared" si="4"/>
        <v>June</v>
      </c>
      <c r="F5" s="13"/>
      <c r="G5" s="13">
        <v>45395</v>
      </c>
      <c r="H5" s="14">
        <f t="shared" si="0"/>
        <v>317</v>
      </c>
      <c r="I5" s="7">
        <v>289008</v>
      </c>
      <c r="J5" s="7">
        <f t="shared" si="1"/>
        <v>251001.46849315069</v>
      </c>
      <c r="K5" s="7">
        <f t="shared" si="2"/>
        <v>12550.073424657536</v>
      </c>
      <c r="L5" s="7">
        <v>25000</v>
      </c>
      <c r="M5" s="7">
        <f t="shared" si="3"/>
        <v>288551.54191780824</v>
      </c>
      <c r="Q5" s="15"/>
    </row>
    <row r="6" spans="1:17" ht="16.5">
      <c r="A6" s="6" t="s">
        <v>144</v>
      </c>
      <c r="B6" s="6" t="s">
        <v>22</v>
      </c>
      <c r="C6" s="6" t="s">
        <v>148</v>
      </c>
      <c r="D6" s="42">
        <v>45211</v>
      </c>
      <c r="E6" s="13" t="str">
        <f t="shared" si="4"/>
        <v>October</v>
      </c>
      <c r="F6" s="13"/>
      <c r="G6" s="13">
        <v>45395</v>
      </c>
      <c r="H6" s="14">
        <f t="shared" si="0"/>
        <v>185</v>
      </c>
      <c r="I6" s="7">
        <v>117041</v>
      </c>
      <c r="J6" s="7">
        <f t="shared" si="1"/>
        <v>59322.150684931505</v>
      </c>
      <c r="K6" s="7">
        <f t="shared" si="2"/>
        <v>2966.1075342465756</v>
      </c>
      <c r="L6" s="7">
        <v>5000</v>
      </c>
      <c r="M6" s="7">
        <f t="shared" si="3"/>
        <v>67288.258219178082</v>
      </c>
      <c r="Q6" s="15"/>
    </row>
    <row r="7" spans="1:17" ht="16.5">
      <c r="A7" s="6" t="s">
        <v>144</v>
      </c>
      <c r="B7" s="6" t="s">
        <v>22</v>
      </c>
      <c r="C7" s="6" t="s">
        <v>149</v>
      </c>
      <c r="D7" s="42">
        <v>45211</v>
      </c>
      <c r="E7" s="13" t="str">
        <f t="shared" si="4"/>
        <v>October</v>
      </c>
      <c r="F7" s="13"/>
      <c r="G7" s="13">
        <v>45395</v>
      </c>
      <c r="H7" s="14">
        <f t="shared" si="0"/>
        <v>185</v>
      </c>
      <c r="I7" s="7">
        <v>117041</v>
      </c>
      <c r="J7" s="7">
        <f t="shared" si="1"/>
        <v>59322.150684931505</v>
      </c>
      <c r="K7" s="7">
        <f t="shared" si="2"/>
        <v>2966.1075342465756</v>
      </c>
      <c r="L7" s="7">
        <v>5000</v>
      </c>
      <c r="M7" s="7">
        <f t="shared" si="3"/>
        <v>67288.258219178082</v>
      </c>
      <c r="Q7" s="15"/>
    </row>
    <row r="8" spans="1:17" ht="16.5">
      <c r="A8" s="6" t="s">
        <v>144</v>
      </c>
      <c r="B8" s="6" t="s">
        <v>22</v>
      </c>
      <c r="C8" s="6" t="s">
        <v>150</v>
      </c>
      <c r="D8" s="42">
        <v>45211</v>
      </c>
      <c r="E8" s="13" t="str">
        <f t="shared" si="4"/>
        <v>October</v>
      </c>
      <c r="F8" s="13"/>
      <c r="G8" s="13">
        <v>45395</v>
      </c>
      <c r="H8" s="14">
        <f t="shared" si="0"/>
        <v>185</v>
      </c>
      <c r="I8" s="7">
        <v>117041</v>
      </c>
      <c r="J8" s="7">
        <f t="shared" si="1"/>
        <v>59322.150684931505</v>
      </c>
      <c r="K8" s="7">
        <f t="shared" si="2"/>
        <v>2966.1075342465756</v>
      </c>
      <c r="L8" s="7">
        <v>5000</v>
      </c>
      <c r="M8" s="7">
        <f t="shared" si="3"/>
        <v>67288.258219178082</v>
      </c>
      <c r="Q8" s="15"/>
    </row>
    <row r="9" spans="1:17" ht="16.5">
      <c r="A9" s="6" t="s">
        <v>144</v>
      </c>
      <c r="B9" s="6" t="s">
        <v>22</v>
      </c>
      <c r="C9" s="6" t="s">
        <v>151</v>
      </c>
      <c r="D9" s="42">
        <v>45211</v>
      </c>
      <c r="E9" s="13" t="str">
        <f t="shared" si="4"/>
        <v>October</v>
      </c>
      <c r="F9" s="13"/>
      <c r="G9" s="13">
        <v>45395</v>
      </c>
      <c r="H9" s="14">
        <f t="shared" si="0"/>
        <v>185</v>
      </c>
      <c r="I9" s="7">
        <v>213797</v>
      </c>
      <c r="J9" s="7">
        <f t="shared" si="1"/>
        <v>108362.86301369863</v>
      </c>
      <c r="K9" s="7">
        <f t="shared" si="2"/>
        <v>5418.1431506849322</v>
      </c>
      <c r="L9" s="7">
        <v>10000</v>
      </c>
      <c r="M9" s="7">
        <f t="shared" si="3"/>
        <v>123781.00616438357</v>
      </c>
      <c r="Q9" s="15"/>
    </row>
    <row r="10" spans="1:17" ht="16.5">
      <c r="A10" s="6" t="s">
        <v>144</v>
      </c>
      <c r="B10" s="6" t="s">
        <v>22</v>
      </c>
      <c r="C10" s="6" t="s">
        <v>152</v>
      </c>
      <c r="D10" s="42">
        <v>45208</v>
      </c>
      <c r="E10" s="13" t="str">
        <f t="shared" si="4"/>
        <v>October</v>
      </c>
      <c r="F10" s="13"/>
      <c r="G10" s="13">
        <v>45395</v>
      </c>
      <c r="H10" s="14">
        <f t="shared" si="0"/>
        <v>188</v>
      </c>
      <c r="I10" s="7">
        <v>117041</v>
      </c>
      <c r="J10" s="7">
        <f t="shared" si="1"/>
        <v>60284.131506849313</v>
      </c>
      <c r="K10" s="7">
        <f t="shared" si="2"/>
        <v>3014.2065753424658</v>
      </c>
      <c r="L10" s="7">
        <v>5000</v>
      </c>
      <c r="M10" s="7">
        <f t="shared" si="3"/>
        <v>68298.338082191782</v>
      </c>
      <c r="Q10" s="15"/>
    </row>
    <row r="11" spans="1:17" ht="16.5">
      <c r="A11" s="6" t="s">
        <v>144</v>
      </c>
      <c r="B11" s="6" t="s">
        <v>22</v>
      </c>
      <c r="C11" s="6" t="s">
        <v>153</v>
      </c>
      <c r="D11" s="42">
        <v>45117</v>
      </c>
      <c r="E11" s="13" t="str">
        <f t="shared" si="4"/>
        <v>July</v>
      </c>
      <c r="F11" s="13"/>
      <c r="G11" s="13">
        <v>45395</v>
      </c>
      <c r="H11" s="14">
        <f t="shared" si="0"/>
        <v>279</v>
      </c>
      <c r="I11" s="7">
        <v>117041</v>
      </c>
      <c r="J11" s="7">
        <f t="shared" si="1"/>
        <v>89464.216438356161</v>
      </c>
      <c r="K11" s="7">
        <f t="shared" si="2"/>
        <v>4473.2108219178081</v>
      </c>
      <c r="L11" s="7">
        <v>5000</v>
      </c>
      <c r="M11" s="7">
        <f t="shared" si="3"/>
        <v>98937.427260273966</v>
      </c>
      <c r="Q11" s="15"/>
    </row>
    <row r="12" spans="1:17" ht="16.5">
      <c r="A12" s="6" t="s">
        <v>144</v>
      </c>
      <c r="B12" s="6" t="s">
        <v>22</v>
      </c>
      <c r="C12" s="6" t="s">
        <v>154</v>
      </c>
      <c r="D12" s="42">
        <v>45273</v>
      </c>
      <c r="E12" s="13" t="str">
        <f t="shared" si="4"/>
        <v>December</v>
      </c>
      <c r="F12" s="13"/>
      <c r="G12" s="13">
        <v>45395</v>
      </c>
      <c r="H12" s="14">
        <f t="shared" si="0"/>
        <v>123</v>
      </c>
      <c r="I12" s="7">
        <v>117041</v>
      </c>
      <c r="J12" s="7">
        <f t="shared" si="1"/>
        <v>39441.213698630134</v>
      </c>
      <c r="K12" s="7">
        <f t="shared" si="2"/>
        <v>1972.0606849315068</v>
      </c>
      <c r="L12" s="7">
        <v>5000</v>
      </c>
      <c r="M12" s="7">
        <f t="shared" si="3"/>
        <v>46413.274383561642</v>
      </c>
      <c r="Q12" s="15"/>
    </row>
    <row r="13" spans="1:17" ht="16.5">
      <c r="A13" s="6" t="s">
        <v>144</v>
      </c>
      <c r="B13" s="6" t="s">
        <v>22</v>
      </c>
      <c r="C13" s="6" t="s">
        <v>155</v>
      </c>
      <c r="D13" s="42">
        <v>45273</v>
      </c>
      <c r="E13" s="13" t="str">
        <f t="shared" si="4"/>
        <v>December</v>
      </c>
      <c r="F13" s="13"/>
      <c r="G13" s="13">
        <v>45395</v>
      </c>
      <c r="H13" s="14">
        <f t="shared" si="0"/>
        <v>123</v>
      </c>
      <c r="I13" s="7">
        <v>117041</v>
      </c>
      <c r="J13" s="7">
        <f t="shared" si="1"/>
        <v>39441.213698630134</v>
      </c>
      <c r="K13" s="7">
        <f t="shared" si="2"/>
        <v>1972.0606849315068</v>
      </c>
      <c r="L13" s="7">
        <v>5000</v>
      </c>
      <c r="M13" s="7">
        <f t="shared" si="3"/>
        <v>46413.274383561642</v>
      </c>
      <c r="Q13" s="15"/>
    </row>
    <row r="14" spans="1:17" ht="16.5">
      <c r="A14" s="6" t="s">
        <v>144</v>
      </c>
      <c r="B14" s="6" t="s">
        <v>22</v>
      </c>
      <c r="C14" s="6" t="s">
        <v>156</v>
      </c>
      <c r="D14" s="42">
        <v>45273</v>
      </c>
      <c r="E14" s="13" t="str">
        <f t="shared" si="4"/>
        <v>December</v>
      </c>
      <c r="F14" s="13"/>
      <c r="G14" s="13">
        <v>45395</v>
      </c>
      <c r="H14" s="14">
        <f t="shared" si="0"/>
        <v>123</v>
      </c>
      <c r="I14" s="7">
        <v>117041</v>
      </c>
      <c r="J14" s="7">
        <f t="shared" si="1"/>
        <v>39441.213698630134</v>
      </c>
      <c r="K14" s="7">
        <f t="shared" si="2"/>
        <v>1972.0606849315068</v>
      </c>
      <c r="L14" s="7">
        <v>5000</v>
      </c>
      <c r="M14" s="7">
        <f t="shared" si="3"/>
        <v>46413.274383561642</v>
      </c>
      <c r="Q14" s="15"/>
    </row>
    <row r="15" spans="1:17" ht="16.5">
      <c r="A15" s="6" t="s">
        <v>157</v>
      </c>
      <c r="B15" s="6" t="s">
        <v>26</v>
      </c>
      <c r="C15" s="6" t="s">
        <v>158</v>
      </c>
      <c r="D15" s="42">
        <v>45222</v>
      </c>
      <c r="E15" s="13" t="str">
        <f t="shared" si="4"/>
        <v>October</v>
      </c>
      <c r="F15" s="13"/>
      <c r="G15" s="13">
        <v>45457</v>
      </c>
      <c r="H15" s="14">
        <f t="shared" si="0"/>
        <v>236</v>
      </c>
      <c r="I15" s="7">
        <v>498432</v>
      </c>
      <c r="J15" s="7">
        <f t="shared" si="1"/>
        <v>322273.84109589038</v>
      </c>
      <c r="K15" s="7">
        <f t="shared" si="2"/>
        <v>16113.692054794519</v>
      </c>
      <c r="L15" s="7">
        <v>10000</v>
      </c>
      <c r="M15" s="7">
        <f t="shared" si="3"/>
        <v>348387.5331506849</v>
      </c>
      <c r="Q15" s="15"/>
    </row>
    <row r="16" spans="1:17" ht="16.5">
      <c r="A16" s="6" t="s">
        <v>159</v>
      </c>
      <c r="B16" s="6" t="s">
        <v>26</v>
      </c>
      <c r="C16" s="6" t="s">
        <v>160</v>
      </c>
      <c r="D16" s="42">
        <v>45324</v>
      </c>
      <c r="E16" s="13" t="str">
        <f t="shared" si="4"/>
        <v>February</v>
      </c>
      <c r="F16" s="13"/>
      <c r="G16" s="13">
        <v>45652</v>
      </c>
      <c r="H16" s="14">
        <f t="shared" si="0"/>
        <v>329</v>
      </c>
      <c r="I16" s="7">
        <v>1427529</v>
      </c>
      <c r="J16" s="7">
        <f t="shared" si="1"/>
        <v>1286731.6191780821</v>
      </c>
      <c r="K16" s="7">
        <f t="shared" si="2"/>
        <v>64336.580958904109</v>
      </c>
      <c r="L16" s="7">
        <v>60000</v>
      </c>
      <c r="M16" s="7">
        <f t="shared" si="3"/>
        <v>1411068.2001369861</v>
      </c>
    </row>
    <row r="17" spans="1:13" ht="16.5">
      <c r="A17" s="6" t="s">
        <v>159</v>
      </c>
      <c r="B17" s="6" t="s">
        <v>26</v>
      </c>
      <c r="C17" s="6" t="s">
        <v>161</v>
      </c>
      <c r="D17" s="42">
        <v>45324</v>
      </c>
      <c r="E17" s="13" t="str">
        <f t="shared" si="4"/>
        <v>February</v>
      </c>
      <c r="F17" s="13"/>
      <c r="G17" s="13">
        <v>45652</v>
      </c>
      <c r="H17" s="14">
        <f t="shared" si="0"/>
        <v>329</v>
      </c>
      <c r="I17" s="7">
        <v>1427529</v>
      </c>
      <c r="J17" s="7">
        <f t="shared" si="1"/>
        <v>1286731.6191780821</v>
      </c>
      <c r="K17" s="7">
        <f t="shared" si="2"/>
        <v>64336.580958904109</v>
      </c>
      <c r="L17" s="7">
        <v>60000</v>
      </c>
      <c r="M17" s="7">
        <f t="shared" si="3"/>
        <v>1411068.2001369861</v>
      </c>
    </row>
    <row r="18" spans="1:13" ht="16.5">
      <c r="A18" s="6" t="s">
        <v>162</v>
      </c>
      <c r="B18" s="6" t="s">
        <v>22</v>
      </c>
      <c r="C18" s="6" t="s">
        <v>163</v>
      </c>
      <c r="D18" s="42">
        <v>45292</v>
      </c>
      <c r="E18" s="13" t="str">
        <f t="shared" si="4"/>
        <v>January</v>
      </c>
      <c r="F18" s="13"/>
      <c r="G18" s="13">
        <v>45412</v>
      </c>
      <c r="H18" s="14">
        <f t="shared" si="0"/>
        <v>121</v>
      </c>
      <c r="I18" s="7">
        <f>145607.157*386</f>
        <v>56204362.602000006</v>
      </c>
      <c r="J18" s="7">
        <f>I18</f>
        <v>56204362.602000006</v>
      </c>
      <c r="K18" s="7">
        <f t="shared" si="2"/>
        <v>2810218.1301000006</v>
      </c>
      <c r="L18" s="7">
        <v>0</v>
      </c>
      <c r="M18" s="7">
        <f t="shared" si="3"/>
        <v>59014580.73210001</v>
      </c>
    </row>
    <row r="19" spans="1:13" ht="16.5">
      <c r="A19" s="6" t="s">
        <v>164</v>
      </c>
      <c r="B19" s="6" t="s">
        <v>22</v>
      </c>
      <c r="C19" s="6" t="s">
        <v>165</v>
      </c>
      <c r="D19" s="42">
        <v>45323</v>
      </c>
      <c r="E19" s="13" t="str">
        <f t="shared" si="4"/>
        <v>February</v>
      </c>
      <c r="F19" s="13"/>
      <c r="G19" s="13">
        <v>45570</v>
      </c>
      <c r="H19" s="14">
        <v>0</v>
      </c>
      <c r="I19" s="7">
        <v>18129600</v>
      </c>
      <c r="J19" s="7">
        <v>16016549.589041093</v>
      </c>
      <c r="K19" s="7">
        <f t="shared" si="2"/>
        <v>800827.47945205471</v>
      </c>
      <c r="L19" s="7">
        <v>171000</v>
      </c>
      <c r="M19" s="7">
        <f t="shared" si="3"/>
        <v>16988377.068493146</v>
      </c>
    </row>
    <row r="20" spans="1:13" ht="16.5">
      <c r="A20" s="6" t="s">
        <v>166</v>
      </c>
      <c r="B20" s="6" t="s">
        <v>22</v>
      </c>
      <c r="C20" s="6" t="s">
        <v>167</v>
      </c>
      <c r="D20" s="42">
        <v>45272</v>
      </c>
      <c r="E20" s="13" t="str">
        <f t="shared" si="4"/>
        <v>December</v>
      </c>
      <c r="F20" s="13"/>
      <c r="G20" s="13">
        <v>45535</v>
      </c>
      <c r="H20" s="14">
        <v>264</v>
      </c>
      <c r="I20" s="7">
        <v>417659</v>
      </c>
      <c r="J20" s="7">
        <f t="shared" ref="J20:J103" si="5">I20*H20/365</f>
        <v>302087.60547945206</v>
      </c>
      <c r="K20" s="7">
        <f t="shared" si="2"/>
        <v>15104.380273972603</v>
      </c>
      <c r="L20" s="7">
        <v>10000</v>
      </c>
      <c r="M20" s="7">
        <f t="shared" si="3"/>
        <v>327191.98575342464</v>
      </c>
    </row>
    <row r="21" spans="1:13" ht="15.75" customHeight="1">
      <c r="A21" s="6" t="s">
        <v>166</v>
      </c>
      <c r="B21" s="6" t="s">
        <v>22</v>
      </c>
      <c r="C21" s="6" t="s">
        <v>168</v>
      </c>
      <c r="D21" s="42">
        <v>45272</v>
      </c>
      <c r="E21" s="13" t="str">
        <f t="shared" si="4"/>
        <v>December</v>
      </c>
      <c r="F21" s="13"/>
      <c r="G21" s="13">
        <v>45535</v>
      </c>
      <c r="H21" s="14">
        <v>264</v>
      </c>
      <c r="I21" s="7">
        <v>1018715</v>
      </c>
      <c r="J21" s="7">
        <f t="shared" si="5"/>
        <v>736824</v>
      </c>
      <c r="K21" s="7">
        <f t="shared" si="2"/>
        <v>36841.200000000004</v>
      </c>
      <c r="L21" s="7">
        <v>40000</v>
      </c>
      <c r="M21" s="7">
        <f t="shared" si="3"/>
        <v>813665.2</v>
      </c>
    </row>
    <row r="22" spans="1:13" ht="15.75" customHeight="1">
      <c r="A22" s="6" t="s">
        <v>144</v>
      </c>
      <c r="B22" s="6" t="s">
        <v>22</v>
      </c>
      <c r="C22" s="6" t="s">
        <v>154</v>
      </c>
      <c r="D22" s="42">
        <v>45273</v>
      </c>
      <c r="E22" s="13" t="str">
        <f t="shared" si="4"/>
        <v>December</v>
      </c>
      <c r="F22" s="13"/>
      <c r="G22" s="13">
        <v>45395</v>
      </c>
      <c r="H22" s="14">
        <v>123</v>
      </c>
      <c r="I22" s="7">
        <v>117041</v>
      </c>
      <c r="J22" s="7">
        <f t="shared" si="5"/>
        <v>39441.213698630134</v>
      </c>
      <c r="K22" s="7">
        <f t="shared" si="2"/>
        <v>1972.0606849315068</v>
      </c>
      <c r="L22" s="7">
        <v>5000</v>
      </c>
      <c r="M22" s="7">
        <f t="shared" si="3"/>
        <v>46413.274383561642</v>
      </c>
    </row>
    <row r="23" spans="1:13" ht="15.75" customHeight="1">
      <c r="A23" s="6" t="s">
        <v>144</v>
      </c>
      <c r="B23" s="6" t="s">
        <v>22</v>
      </c>
      <c r="C23" s="6" t="s">
        <v>155</v>
      </c>
      <c r="D23" s="42">
        <v>45273</v>
      </c>
      <c r="E23" s="13" t="str">
        <f t="shared" si="4"/>
        <v>December</v>
      </c>
      <c r="F23" s="13"/>
      <c r="G23" s="13">
        <v>45395</v>
      </c>
      <c r="H23" s="14">
        <v>123</v>
      </c>
      <c r="I23" s="7">
        <v>117041</v>
      </c>
      <c r="J23" s="7">
        <f t="shared" si="5"/>
        <v>39441.213698630134</v>
      </c>
      <c r="K23" s="7">
        <f t="shared" si="2"/>
        <v>1972.0606849315068</v>
      </c>
      <c r="L23" s="7">
        <v>5000</v>
      </c>
      <c r="M23" s="7">
        <f t="shared" si="3"/>
        <v>46413.274383561642</v>
      </c>
    </row>
    <row r="24" spans="1:13" ht="15.75" customHeight="1">
      <c r="A24" s="6" t="s">
        <v>144</v>
      </c>
      <c r="B24" s="6" t="s">
        <v>22</v>
      </c>
      <c r="C24" s="6" t="s">
        <v>156</v>
      </c>
      <c r="D24" s="42">
        <v>45273</v>
      </c>
      <c r="E24" s="13" t="str">
        <f t="shared" si="4"/>
        <v>December</v>
      </c>
      <c r="F24" s="13"/>
      <c r="G24" s="13">
        <v>45395</v>
      </c>
      <c r="H24" s="14">
        <v>123</v>
      </c>
      <c r="I24" s="7">
        <v>117041</v>
      </c>
      <c r="J24" s="7">
        <f t="shared" si="5"/>
        <v>39441.213698630134</v>
      </c>
      <c r="K24" s="7">
        <f t="shared" si="2"/>
        <v>1972.0606849315068</v>
      </c>
      <c r="L24" s="7">
        <v>5000</v>
      </c>
      <c r="M24" s="7">
        <f t="shared" si="3"/>
        <v>46413.274383561642</v>
      </c>
    </row>
    <row r="25" spans="1:13" ht="15.75" customHeight="1">
      <c r="A25" s="6" t="s">
        <v>169</v>
      </c>
      <c r="B25" s="6" t="s">
        <v>22</v>
      </c>
      <c r="C25" s="6" t="s">
        <v>170</v>
      </c>
      <c r="D25" s="42">
        <v>45296</v>
      </c>
      <c r="E25" s="13" t="str">
        <f t="shared" si="4"/>
        <v>January</v>
      </c>
      <c r="F25" s="13"/>
      <c r="G25" s="13">
        <v>45570</v>
      </c>
      <c r="H25" s="14">
        <f t="shared" ref="H25:H93" si="6">G25-D25+1</f>
        <v>275</v>
      </c>
      <c r="I25" s="7">
        <v>377700</v>
      </c>
      <c r="J25" s="7">
        <f t="shared" si="5"/>
        <v>284568.49315068492</v>
      </c>
      <c r="K25" s="7">
        <f t="shared" si="2"/>
        <v>14228.424657534248</v>
      </c>
      <c r="L25" s="7">
        <v>3000</v>
      </c>
      <c r="M25" s="7">
        <f t="shared" si="3"/>
        <v>301796.91780821915</v>
      </c>
    </row>
    <row r="26" spans="1:13" ht="15.75" customHeight="1">
      <c r="A26" s="6" t="s">
        <v>169</v>
      </c>
      <c r="B26" s="6" t="s">
        <v>22</v>
      </c>
      <c r="C26" s="6" t="s">
        <v>171</v>
      </c>
      <c r="D26" s="42">
        <v>45296</v>
      </c>
      <c r="E26" s="13" t="str">
        <f t="shared" si="4"/>
        <v>January</v>
      </c>
      <c r="F26" s="13"/>
      <c r="G26" s="13">
        <v>45570</v>
      </c>
      <c r="H26" s="14">
        <f t="shared" si="6"/>
        <v>275</v>
      </c>
      <c r="I26" s="7">
        <v>377700</v>
      </c>
      <c r="J26" s="7">
        <f t="shared" si="5"/>
        <v>284568.49315068492</v>
      </c>
      <c r="K26" s="7">
        <f t="shared" si="2"/>
        <v>14228.424657534248</v>
      </c>
      <c r="L26" s="7">
        <v>3000</v>
      </c>
      <c r="M26" s="7">
        <f t="shared" si="3"/>
        <v>301796.91780821915</v>
      </c>
    </row>
    <row r="27" spans="1:13" ht="15.75" customHeight="1">
      <c r="A27" s="6" t="s">
        <v>169</v>
      </c>
      <c r="B27" s="6" t="s">
        <v>22</v>
      </c>
      <c r="C27" s="6" t="s">
        <v>172</v>
      </c>
      <c r="D27" s="42">
        <v>45296</v>
      </c>
      <c r="E27" s="13" t="str">
        <f t="shared" si="4"/>
        <v>January</v>
      </c>
      <c r="F27" s="13"/>
      <c r="G27" s="13">
        <v>45570</v>
      </c>
      <c r="H27" s="14">
        <f t="shared" si="6"/>
        <v>275</v>
      </c>
      <c r="I27" s="7">
        <v>377700</v>
      </c>
      <c r="J27" s="7">
        <f t="shared" si="5"/>
        <v>284568.49315068492</v>
      </c>
      <c r="K27" s="7">
        <f t="shared" si="2"/>
        <v>14228.424657534248</v>
      </c>
      <c r="L27" s="7">
        <v>3000</v>
      </c>
      <c r="M27" s="7">
        <f t="shared" si="3"/>
        <v>301796.91780821915</v>
      </c>
    </row>
    <row r="28" spans="1:13" ht="15.75" customHeight="1">
      <c r="A28" s="6" t="s">
        <v>169</v>
      </c>
      <c r="B28" s="6" t="s">
        <v>22</v>
      </c>
      <c r="C28" s="6" t="s">
        <v>173</v>
      </c>
      <c r="D28" s="42">
        <v>45296</v>
      </c>
      <c r="E28" s="13" t="str">
        <f t="shared" si="4"/>
        <v>January</v>
      </c>
      <c r="F28" s="13"/>
      <c r="G28" s="13">
        <v>45570</v>
      </c>
      <c r="H28" s="14">
        <f t="shared" si="6"/>
        <v>275</v>
      </c>
      <c r="I28" s="7">
        <v>377700</v>
      </c>
      <c r="J28" s="7">
        <f t="shared" si="5"/>
        <v>284568.49315068492</v>
      </c>
      <c r="K28" s="7">
        <f t="shared" si="2"/>
        <v>14228.424657534248</v>
      </c>
      <c r="L28" s="7">
        <v>9000</v>
      </c>
      <c r="M28" s="7">
        <f t="shared" si="3"/>
        <v>307796.91780821915</v>
      </c>
    </row>
    <row r="29" spans="1:13" ht="15.75" customHeight="1">
      <c r="A29" s="6" t="s">
        <v>169</v>
      </c>
      <c r="B29" s="6" t="s">
        <v>22</v>
      </c>
      <c r="C29" s="6" t="s">
        <v>174</v>
      </c>
      <c r="D29" s="42">
        <v>45303</v>
      </c>
      <c r="E29" s="13" t="str">
        <f t="shared" si="4"/>
        <v>January</v>
      </c>
      <c r="F29" s="13"/>
      <c r="G29" s="13">
        <v>45570</v>
      </c>
      <c r="H29" s="14">
        <f t="shared" si="6"/>
        <v>268</v>
      </c>
      <c r="I29" s="7">
        <v>377700</v>
      </c>
      <c r="J29" s="7">
        <f t="shared" si="5"/>
        <v>277324.9315068493</v>
      </c>
      <c r="K29" s="7">
        <f t="shared" si="2"/>
        <v>13866.246575342466</v>
      </c>
      <c r="L29" s="7">
        <v>3000</v>
      </c>
      <c r="M29" s="7">
        <f t="shared" si="3"/>
        <v>294191.17808219179</v>
      </c>
    </row>
    <row r="30" spans="1:13" ht="15.75" customHeight="1">
      <c r="A30" s="6" t="s">
        <v>169</v>
      </c>
      <c r="B30" s="6" t="s">
        <v>22</v>
      </c>
      <c r="C30" s="6" t="s">
        <v>175</v>
      </c>
      <c r="D30" s="42">
        <v>45303</v>
      </c>
      <c r="E30" s="13" t="str">
        <f t="shared" si="4"/>
        <v>January</v>
      </c>
      <c r="F30" s="13"/>
      <c r="G30" s="13">
        <v>45570</v>
      </c>
      <c r="H30" s="14">
        <f t="shared" si="6"/>
        <v>268</v>
      </c>
      <c r="I30" s="7">
        <v>377700</v>
      </c>
      <c r="J30" s="7">
        <f t="shared" si="5"/>
        <v>277324.9315068493</v>
      </c>
      <c r="K30" s="7">
        <f t="shared" si="2"/>
        <v>13866.246575342466</v>
      </c>
      <c r="L30" s="7">
        <v>3000</v>
      </c>
      <c r="M30" s="7">
        <f t="shared" si="3"/>
        <v>294191.17808219179</v>
      </c>
    </row>
    <row r="31" spans="1:13" ht="15.75" customHeight="1">
      <c r="A31" s="6" t="s">
        <v>169</v>
      </c>
      <c r="B31" s="6" t="s">
        <v>22</v>
      </c>
      <c r="C31" s="6" t="s">
        <v>176</v>
      </c>
      <c r="D31" s="42">
        <v>45303</v>
      </c>
      <c r="E31" s="13" t="str">
        <f t="shared" si="4"/>
        <v>January</v>
      </c>
      <c r="F31" s="13"/>
      <c r="G31" s="13">
        <v>45570</v>
      </c>
      <c r="H31" s="14">
        <f t="shared" si="6"/>
        <v>268</v>
      </c>
      <c r="I31" s="7">
        <v>377700</v>
      </c>
      <c r="J31" s="7">
        <f t="shared" si="5"/>
        <v>277324.9315068493</v>
      </c>
      <c r="K31" s="7">
        <f t="shared" si="2"/>
        <v>13866.246575342466</v>
      </c>
      <c r="L31" s="7">
        <v>3000</v>
      </c>
      <c r="M31" s="7">
        <f t="shared" si="3"/>
        <v>294191.17808219179</v>
      </c>
    </row>
    <row r="32" spans="1:13" ht="15.75" customHeight="1">
      <c r="A32" s="6" t="s">
        <v>169</v>
      </c>
      <c r="B32" s="6" t="s">
        <v>22</v>
      </c>
      <c r="C32" s="6" t="s">
        <v>177</v>
      </c>
      <c r="D32" s="42">
        <v>45303</v>
      </c>
      <c r="E32" s="13" t="str">
        <f t="shared" si="4"/>
        <v>January</v>
      </c>
      <c r="F32" s="13"/>
      <c r="G32" s="13">
        <v>45570</v>
      </c>
      <c r="H32" s="14">
        <f t="shared" si="6"/>
        <v>268</v>
      </c>
      <c r="I32" s="7">
        <v>377700</v>
      </c>
      <c r="J32" s="7">
        <f t="shared" si="5"/>
        <v>277324.9315068493</v>
      </c>
      <c r="K32" s="7">
        <f t="shared" si="2"/>
        <v>13866.246575342466</v>
      </c>
      <c r="L32" s="7">
        <v>3000</v>
      </c>
      <c r="M32" s="7">
        <f t="shared" si="3"/>
        <v>294191.17808219179</v>
      </c>
    </row>
    <row r="33" spans="1:13" ht="15.75" customHeight="1">
      <c r="A33" s="6" t="s">
        <v>169</v>
      </c>
      <c r="B33" s="6" t="s">
        <v>22</v>
      </c>
      <c r="C33" s="6" t="s">
        <v>178</v>
      </c>
      <c r="D33" s="42">
        <v>45303</v>
      </c>
      <c r="E33" s="13" t="str">
        <f t="shared" si="4"/>
        <v>January</v>
      </c>
      <c r="F33" s="13"/>
      <c r="G33" s="13">
        <v>45570</v>
      </c>
      <c r="H33" s="14">
        <f t="shared" si="6"/>
        <v>268</v>
      </c>
      <c r="I33" s="7">
        <v>377700</v>
      </c>
      <c r="J33" s="7">
        <f t="shared" si="5"/>
        <v>277324.9315068493</v>
      </c>
      <c r="K33" s="7">
        <f t="shared" si="2"/>
        <v>13866.246575342466</v>
      </c>
      <c r="L33" s="7">
        <v>3000</v>
      </c>
      <c r="M33" s="7">
        <f t="shared" si="3"/>
        <v>294191.17808219179</v>
      </c>
    </row>
    <row r="34" spans="1:13" ht="15.75" customHeight="1">
      <c r="A34" s="6" t="s">
        <v>169</v>
      </c>
      <c r="B34" s="6" t="s">
        <v>22</v>
      </c>
      <c r="C34" s="6" t="s">
        <v>179</v>
      </c>
      <c r="D34" s="42">
        <v>45303</v>
      </c>
      <c r="E34" s="13" t="str">
        <f t="shared" si="4"/>
        <v>January</v>
      </c>
      <c r="F34" s="13"/>
      <c r="G34" s="13">
        <v>45570</v>
      </c>
      <c r="H34" s="14">
        <f t="shared" si="6"/>
        <v>268</v>
      </c>
      <c r="I34" s="7">
        <v>377700</v>
      </c>
      <c r="J34" s="7">
        <f t="shared" si="5"/>
        <v>277324.9315068493</v>
      </c>
      <c r="K34" s="7">
        <f t="shared" si="2"/>
        <v>13866.246575342466</v>
      </c>
      <c r="L34" s="7">
        <v>3000</v>
      </c>
      <c r="M34" s="7">
        <f t="shared" si="3"/>
        <v>294191.17808219179</v>
      </c>
    </row>
    <row r="35" spans="1:13" ht="15.75" customHeight="1">
      <c r="A35" s="6" t="s">
        <v>169</v>
      </c>
      <c r="B35" s="6" t="s">
        <v>22</v>
      </c>
      <c r="C35" s="6" t="s">
        <v>180</v>
      </c>
      <c r="D35" s="42">
        <v>45303</v>
      </c>
      <c r="E35" s="13" t="str">
        <f t="shared" si="4"/>
        <v>January</v>
      </c>
      <c r="F35" s="13"/>
      <c r="G35" s="13">
        <v>45570</v>
      </c>
      <c r="H35" s="14">
        <f t="shared" si="6"/>
        <v>268</v>
      </c>
      <c r="I35" s="7">
        <v>377700</v>
      </c>
      <c r="J35" s="7">
        <f t="shared" si="5"/>
        <v>277324.9315068493</v>
      </c>
      <c r="K35" s="7">
        <f t="shared" si="2"/>
        <v>13866.246575342466</v>
      </c>
      <c r="L35" s="7">
        <v>3000</v>
      </c>
      <c r="M35" s="7">
        <f t="shared" si="3"/>
        <v>294191.17808219179</v>
      </c>
    </row>
    <row r="36" spans="1:13" ht="15.75" customHeight="1">
      <c r="A36" s="6" t="s">
        <v>169</v>
      </c>
      <c r="B36" s="6" t="s">
        <v>22</v>
      </c>
      <c r="C36" s="6" t="s">
        <v>181</v>
      </c>
      <c r="D36" s="42">
        <v>45303</v>
      </c>
      <c r="E36" s="13" t="str">
        <f t="shared" si="4"/>
        <v>January</v>
      </c>
      <c r="F36" s="13"/>
      <c r="G36" s="13">
        <v>45570</v>
      </c>
      <c r="H36" s="14">
        <f t="shared" si="6"/>
        <v>268</v>
      </c>
      <c r="I36" s="7">
        <v>377700</v>
      </c>
      <c r="J36" s="7">
        <f t="shared" si="5"/>
        <v>277324.9315068493</v>
      </c>
      <c r="K36" s="7">
        <f t="shared" si="2"/>
        <v>13866.246575342466</v>
      </c>
      <c r="L36" s="7">
        <v>3000</v>
      </c>
      <c r="M36" s="7">
        <f t="shared" si="3"/>
        <v>294191.17808219179</v>
      </c>
    </row>
    <row r="37" spans="1:13" ht="15.75" customHeight="1">
      <c r="A37" s="6" t="s">
        <v>169</v>
      </c>
      <c r="B37" s="6" t="s">
        <v>22</v>
      </c>
      <c r="C37" s="6" t="s">
        <v>182</v>
      </c>
      <c r="D37" s="42">
        <v>45303</v>
      </c>
      <c r="E37" s="13" t="str">
        <f t="shared" si="4"/>
        <v>January</v>
      </c>
      <c r="F37" s="13"/>
      <c r="G37" s="13">
        <v>45570</v>
      </c>
      <c r="H37" s="14">
        <f t="shared" si="6"/>
        <v>268</v>
      </c>
      <c r="I37" s="7">
        <v>377700</v>
      </c>
      <c r="J37" s="7">
        <f t="shared" si="5"/>
        <v>277324.9315068493</v>
      </c>
      <c r="K37" s="7">
        <f t="shared" si="2"/>
        <v>13866.246575342466</v>
      </c>
      <c r="L37" s="7">
        <v>3000</v>
      </c>
      <c r="M37" s="7">
        <f t="shared" si="3"/>
        <v>294191.17808219179</v>
      </c>
    </row>
    <row r="38" spans="1:13" ht="15.75" customHeight="1">
      <c r="A38" s="6" t="s">
        <v>169</v>
      </c>
      <c r="B38" s="6" t="s">
        <v>22</v>
      </c>
      <c r="C38" s="6" t="s">
        <v>183</v>
      </c>
      <c r="D38" s="42">
        <v>45303</v>
      </c>
      <c r="E38" s="13" t="str">
        <f t="shared" si="4"/>
        <v>January</v>
      </c>
      <c r="F38" s="13"/>
      <c r="G38" s="13">
        <v>45570</v>
      </c>
      <c r="H38" s="14">
        <f t="shared" si="6"/>
        <v>268</v>
      </c>
      <c r="I38" s="7">
        <v>377700</v>
      </c>
      <c r="J38" s="7">
        <f t="shared" si="5"/>
        <v>277324.9315068493</v>
      </c>
      <c r="K38" s="7">
        <f t="shared" si="2"/>
        <v>13866.246575342466</v>
      </c>
      <c r="L38" s="7">
        <v>3000</v>
      </c>
      <c r="M38" s="7">
        <f t="shared" si="3"/>
        <v>294191.17808219179</v>
      </c>
    </row>
    <row r="39" spans="1:13" ht="15.75" customHeight="1">
      <c r="A39" s="6" t="s">
        <v>169</v>
      </c>
      <c r="B39" s="6" t="s">
        <v>22</v>
      </c>
      <c r="C39" s="6" t="s">
        <v>184</v>
      </c>
      <c r="D39" s="42">
        <v>45303</v>
      </c>
      <c r="E39" s="13" t="str">
        <f t="shared" si="4"/>
        <v>January</v>
      </c>
      <c r="F39" s="13"/>
      <c r="G39" s="13">
        <v>45570</v>
      </c>
      <c r="H39" s="14">
        <f t="shared" si="6"/>
        <v>268</v>
      </c>
      <c r="I39" s="7">
        <v>377700</v>
      </c>
      <c r="J39" s="7">
        <f t="shared" si="5"/>
        <v>277324.9315068493</v>
      </c>
      <c r="K39" s="7">
        <f t="shared" si="2"/>
        <v>13866.246575342466</v>
      </c>
      <c r="L39" s="7">
        <v>3000</v>
      </c>
      <c r="M39" s="7">
        <f t="shared" si="3"/>
        <v>294191.17808219179</v>
      </c>
    </row>
    <row r="40" spans="1:13" ht="15.75" customHeight="1">
      <c r="A40" s="6" t="s">
        <v>169</v>
      </c>
      <c r="B40" s="6" t="s">
        <v>22</v>
      </c>
      <c r="C40" s="6" t="s">
        <v>185</v>
      </c>
      <c r="D40" s="42">
        <v>45303</v>
      </c>
      <c r="E40" s="13" t="str">
        <f t="shared" si="4"/>
        <v>January</v>
      </c>
      <c r="F40" s="13"/>
      <c r="G40" s="13">
        <v>45570</v>
      </c>
      <c r="H40" s="14">
        <f t="shared" si="6"/>
        <v>268</v>
      </c>
      <c r="I40" s="7">
        <v>377700</v>
      </c>
      <c r="J40" s="7">
        <f t="shared" si="5"/>
        <v>277324.9315068493</v>
      </c>
      <c r="K40" s="7">
        <f t="shared" si="2"/>
        <v>13866.246575342466</v>
      </c>
      <c r="L40" s="7">
        <v>3000</v>
      </c>
      <c r="M40" s="7">
        <f t="shared" si="3"/>
        <v>294191.17808219179</v>
      </c>
    </row>
    <row r="41" spans="1:13" ht="15.75" customHeight="1">
      <c r="A41" s="6" t="s">
        <v>169</v>
      </c>
      <c r="B41" s="6" t="s">
        <v>22</v>
      </c>
      <c r="C41" s="6" t="s">
        <v>186</v>
      </c>
      <c r="D41" s="42">
        <v>45303</v>
      </c>
      <c r="E41" s="13" t="str">
        <f t="shared" si="4"/>
        <v>January</v>
      </c>
      <c r="F41" s="13"/>
      <c r="G41" s="13">
        <v>45570</v>
      </c>
      <c r="H41" s="14">
        <f t="shared" si="6"/>
        <v>268</v>
      </c>
      <c r="I41" s="7">
        <v>377700</v>
      </c>
      <c r="J41" s="7">
        <f t="shared" si="5"/>
        <v>277324.9315068493</v>
      </c>
      <c r="K41" s="7">
        <f t="shared" si="2"/>
        <v>13866.246575342466</v>
      </c>
      <c r="L41" s="7">
        <v>3000</v>
      </c>
      <c r="M41" s="7">
        <f t="shared" si="3"/>
        <v>294191.17808219179</v>
      </c>
    </row>
    <row r="42" spans="1:13" ht="15.75" customHeight="1">
      <c r="A42" s="6" t="s">
        <v>169</v>
      </c>
      <c r="B42" s="6" t="s">
        <v>22</v>
      </c>
      <c r="C42" s="6" t="s">
        <v>187</v>
      </c>
      <c r="D42" s="42">
        <v>45303</v>
      </c>
      <c r="E42" s="13" t="str">
        <f t="shared" si="4"/>
        <v>January</v>
      </c>
      <c r="F42" s="13"/>
      <c r="G42" s="13">
        <v>45570</v>
      </c>
      <c r="H42" s="14">
        <f t="shared" si="6"/>
        <v>268</v>
      </c>
      <c r="I42" s="7">
        <v>377700</v>
      </c>
      <c r="J42" s="7">
        <f t="shared" si="5"/>
        <v>277324.9315068493</v>
      </c>
      <c r="K42" s="7">
        <f t="shared" si="2"/>
        <v>13866.246575342466</v>
      </c>
      <c r="L42" s="7">
        <v>3000</v>
      </c>
      <c r="M42" s="7">
        <f t="shared" si="3"/>
        <v>294191.17808219179</v>
      </c>
    </row>
    <row r="43" spans="1:13" ht="15.75" customHeight="1">
      <c r="A43" s="6" t="s">
        <v>169</v>
      </c>
      <c r="B43" s="6" t="s">
        <v>22</v>
      </c>
      <c r="C43" s="6" t="s">
        <v>188</v>
      </c>
      <c r="D43" s="42">
        <v>45303</v>
      </c>
      <c r="E43" s="13" t="str">
        <f t="shared" si="4"/>
        <v>January</v>
      </c>
      <c r="F43" s="13"/>
      <c r="G43" s="13">
        <v>45570</v>
      </c>
      <c r="H43" s="14">
        <f t="shared" si="6"/>
        <v>268</v>
      </c>
      <c r="I43" s="7">
        <v>377700</v>
      </c>
      <c r="J43" s="7">
        <f t="shared" si="5"/>
        <v>277324.9315068493</v>
      </c>
      <c r="K43" s="7">
        <f t="shared" si="2"/>
        <v>13866.246575342466</v>
      </c>
      <c r="L43" s="7">
        <v>3000</v>
      </c>
      <c r="M43" s="7">
        <f t="shared" si="3"/>
        <v>294191.17808219179</v>
      </c>
    </row>
    <row r="44" spans="1:13" ht="15.75" customHeight="1">
      <c r="A44" s="6" t="s">
        <v>169</v>
      </c>
      <c r="B44" s="6" t="s">
        <v>22</v>
      </c>
      <c r="C44" s="6" t="s">
        <v>189</v>
      </c>
      <c r="D44" s="42">
        <v>45308</v>
      </c>
      <c r="E44" s="13" t="str">
        <f t="shared" si="4"/>
        <v>January</v>
      </c>
      <c r="F44" s="13"/>
      <c r="G44" s="13">
        <v>45570</v>
      </c>
      <c r="H44" s="14">
        <f t="shared" si="6"/>
        <v>263</v>
      </c>
      <c r="I44" s="7">
        <v>377700</v>
      </c>
      <c r="J44" s="7">
        <f t="shared" si="5"/>
        <v>272150.9589041096</v>
      </c>
      <c r="K44" s="7">
        <f t="shared" si="2"/>
        <v>13607.547945205481</v>
      </c>
      <c r="L44" s="7">
        <v>3000</v>
      </c>
      <c r="M44" s="7">
        <f t="shared" si="3"/>
        <v>288758.50684931508</v>
      </c>
    </row>
    <row r="45" spans="1:13" ht="15.75" customHeight="1">
      <c r="A45" s="6" t="s">
        <v>169</v>
      </c>
      <c r="B45" s="6" t="s">
        <v>22</v>
      </c>
      <c r="C45" s="6" t="s">
        <v>190</v>
      </c>
      <c r="D45" s="42">
        <v>45308</v>
      </c>
      <c r="E45" s="13" t="str">
        <f t="shared" si="4"/>
        <v>January</v>
      </c>
      <c r="F45" s="13"/>
      <c r="G45" s="13">
        <v>45570</v>
      </c>
      <c r="H45" s="14">
        <f t="shared" si="6"/>
        <v>263</v>
      </c>
      <c r="I45" s="7">
        <v>377700</v>
      </c>
      <c r="J45" s="7">
        <f t="shared" si="5"/>
        <v>272150.9589041096</v>
      </c>
      <c r="K45" s="7">
        <f t="shared" si="2"/>
        <v>13607.547945205481</v>
      </c>
      <c r="L45" s="7">
        <v>3000</v>
      </c>
      <c r="M45" s="7">
        <f t="shared" si="3"/>
        <v>288758.50684931508</v>
      </c>
    </row>
    <row r="46" spans="1:13" ht="15.75" customHeight="1">
      <c r="A46" s="6" t="s">
        <v>169</v>
      </c>
      <c r="B46" s="6" t="s">
        <v>22</v>
      </c>
      <c r="C46" s="6" t="s">
        <v>191</v>
      </c>
      <c r="D46" s="42">
        <v>45309</v>
      </c>
      <c r="E46" s="13" t="str">
        <f t="shared" si="4"/>
        <v>January</v>
      </c>
      <c r="F46" s="13"/>
      <c r="G46" s="13">
        <v>45570</v>
      </c>
      <c r="H46" s="14">
        <f t="shared" si="6"/>
        <v>262</v>
      </c>
      <c r="I46" s="7">
        <v>377700</v>
      </c>
      <c r="J46" s="7">
        <f t="shared" si="5"/>
        <v>271116.16438356164</v>
      </c>
      <c r="K46" s="7">
        <f t="shared" si="2"/>
        <v>13555.808219178083</v>
      </c>
      <c r="L46" s="7">
        <v>3000</v>
      </c>
      <c r="M46" s="7">
        <f t="shared" si="3"/>
        <v>287671.9726027397</v>
      </c>
    </row>
    <row r="47" spans="1:13" ht="15.75" customHeight="1">
      <c r="A47" s="6" t="s">
        <v>169</v>
      </c>
      <c r="B47" s="6" t="s">
        <v>22</v>
      </c>
      <c r="C47" s="6" t="s">
        <v>192</v>
      </c>
      <c r="D47" s="42">
        <v>45315</v>
      </c>
      <c r="E47" s="13" t="str">
        <f t="shared" si="4"/>
        <v>January</v>
      </c>
      <c r="F47" s="13"/>
      <c r="G47" s="13">
        <v>45570</v>
      </c>
      <c r="H47" s="14">
        <f t="shared" si="6"/>
        <v>256</v>
      </c>
      <c r="I47" s="7">
        <v>377700</v>
      </c>
      <c r="J47" s="7">
        <f t="shared" si="5"/>
        <v>264907.39726027398</v>
      </c>
      <c r="K47" s="7">
        <f t="shared" si="2"/>
        <v>13245.369863013701</v>
      </c>
      <c r="L47" s="7">
        <v>3000</v>
      </c>
      <c r="M47" s="7">
        <f t="shared" si="3"/>
        <v>281152.76712328766</v>
      </c>
    </row>
    <row r="48" spans="1:13" ht="15.75" customHeight="1">
      <c r="A48" s="6" t="s">
        <v>169</v>
      </c>
      <c r="B48" s="6" t="s">
        <v>22</v>
      </c>
      <c r="C48" s="6" t="s">
        <v>193</v>
      </c>
      <c r="D48" s="42">
        <v>45315</v>
      </c>
      <c r="E48" s="13" t="str">
        <f t="shared" si="4"/>
        <v>January</v>
      </c>
      <c r="F48" s="13"/>
      <c r="G48" s="13">
        <v>45570</v>
      </c>
      <c r="H48" s="14">
        <f t="shared" si="6"/>
        <v>256</v>
      </c>
      <c r="I48" s="7">
        <v>377700</v>
      </c>
      <c r="J48" s="7">
        <f t="shared" si="5"/>
        <v>264907.39726027398</v>
      </c>
      <c r="K48" s="7">
        <f t="shared" si="2"/>
        <v>13245.369863013701</v>
      </c>
      <c r="L48" s="7">
        <v>3000</v>
      </c>
      <c r="M48" s="7">
        <f t="shared" si="3"/>
        <v>281152.76712328766</v>
      </c>
    </row>
    <row r="49" spans="1:14" ht="15.75" customHeight="1">
      <c r="A49" s="6" t="s">
        <v>169</v>
      </c>
      <c r="B49" s="6" t="s">
        <v>22</v>
      </c>
      <c r="C49" s="6" t="s">
        <v>194</v>
      </c>
      <c r="D49" s="42">
        <v>45315</v>
      </c>
      <c r="E49" s="13" t="str">
        <f t="shared" si="4"/>
        <v>January</v>
      </c>
      <c r="F49" s="13"/>
      <c r="G49" s="13">
        <v>45570</v>
      </c>
      <c r="H49" s="14">
        <f t="shared" si="6"/>
        <v>256</v>
      </c>
      <c r="I49" s="7">
        <v>377700</v>
      </c>
      <c r="J49" s="7">
        <f t="shared" si="5"/>
        <v>264907.39726027398</v>
      </c>
      <c r="K49" s="7">
        <f t="shared" si="2"/>
        <v>13245.369863013701</v>
      </c>
      <c r="L49" s="7">
        <v>6000</v>
      </c>
      <c r="M49" s="7">
        <f t="shared" si="3"/>
        <v>284152.76712328766</v>
      </c>
    </row>
    <row r="50" spans="1:14" ht="15.75" customHeight="1">
      <c r="A50" s="6" t="s">
        <v>169</v>
      </c>
      <c r="B50" s="6" t="s">
        <v>22</v>
      </c>
      <c r="C50" s="6" t="s">
        <v>195</v>
      </c>
      <c r="D50" s="42">
        <v>45315</v>
      </c>
      <c r="E50" s="13" t="str">
        <f t="shared" si="4"/>
        <v>January</v>
      </c>
      <c r="F50" s="13"/>
      <c r="G50" s="13">
        <v>45570</v>
      </c>
      <c r="H50" s="14">
        <f t="shared" si="6"/>
        <v>256</v>
      </c>
      <c r="I50" s="7">
        <v>377700</v>
      </c>
      <c r="J50" s="7">
        <f t="shared" si="5"/>
        <v>264907.39726027398</v>
      </c>
      <c r="K50" s="7">
        <f t="shared" si="2"/>
        <v>13245.369863013701</v>
      </c>
      <c r="L50" s="7">
        <v>3000</v>
      </c>
      <c r="M50" s="7">
        <f t="shared" si="3"/>
        <v>281152.76712328766</v>
      </c>
      <c r="N50" s="16"/>
    </row>
    <row r="51" spans="1:14" ht="15.75" customHeight="1">
      <c r="A51" s="6" t="s">
        <v>169</v>
      </c>
      <c r="B51" s="6" t="s">
        <v>22</v>
      </c>
      <c r="C51" s="6" t="s">
        <v>196</v>
      </c>
      <c r="D51" s="42">
        <v>45315</v>
      </c>
      <c r="E51" s="13" t="str">
        <f t="shared" si="4"/>
        <v>January</v>
      </c>
      <c r="F51" s="13"/>
      <c r="G51" s="13">
        <v>45570</v>
      </c>
      <c r="H51" s="14">
        <f t="shared" si="6"/>
        <v>256</v>
      </c>
      <c r="I51" s="7">
        <v>377700</v>
      </c>
      <c r="J51" s="7">
        <f t="shared" si="5"/>
        <v>264907.39726027398</v>
      </c>
      <c r="K51" s="7">
        <f t="shared" si="2"/>
        <v>13245.369863013701</v>
      </c>
      <c r="L51" s="7">
        <v>3000</v>
      </c>
      <c r="M51" s="7">
        <f t="shared" si="3"/>
        <v>281152.76712328766</v>
      </c>
    </row>
    <row r="52" spans="1:14" ht="15.75" customHeight="1">
      <c r="A52" s="6" t="s">
        <v>169</v>
      </c>
      <c r="B52" s="6" t="s">
        <v>22</v>
      </c>
      <c r="C52" s="6" t="s">
        <v>197</v>
      </c>
      <c r="D52" s="42">
        <v>45316</v>
      </c>
      <c r="E52" s="13" t="str">
        <f t="shared" si="4"/>
        <v>January</v>
      </c>
      <c r="F52" s="13"/>
      <c r="G52" s="13">
        <v>45570</v>
      </c>
      <c r="H52" s="14">
        <f t="shared" si="6"/>
        <v>255</v>
      </c>
      <c r="I52" s="7">
        <v>377700</v>
      </c>
      <c r="J52" s="7">
        <f t="shared" si="5"/>
        <v>263872.60273972602</v>
      </c>
      <c r="K52" s="7">
        <f t="shared" si="2"/>
        <v>13193.630136986301</v>
      </c>
      <c r="L52" s="7">
        <v>3000</v>
      </c>
      <c r="M52" s="7">
        <f t="shared" si="3"/>
        <v>280066.23287671234</v>
      </c>
    </row>
    <row r="53" spans="1:14" ht="15.75" customHeight="1">
      <c r="A53" s="6" t="s">
        <v>169</v>
      </c>
      <c r="B53" s="6" t="s">
        <v>22</v>
      </c>
      <c r="C53" s="6" t="s">
        <v>198</v>
      </c>
      <c r="D53" s="42">
        <v>45316</v>
      </c>
      <c r="E53" s="13" t="str">
        <f t="shared" si="4"/>
        <v>January</v>
      </c>
      <c r="F53" s="13"/>
      <c r="G53" s="13">
        <v>45570</v>
      </c>
      <c r="H53" s="14">
        <f t="shared" si="6"/>
        <v>255</v>
      </c>
      <c r="I53" s="7">
        <v>377700</v>
      </c>
      <c r="J53" s="7">
        <f t="shared" si="5"/>
        <v>263872.60273972602</v>
      </c>
      <c r="K53" s="7">
        <f t="shared" si="2"/>
        <v>13193.630136986301</v>
      </c>
      <c r="L53" s="7">
        <v>3000</v>
      </c>
      <c r="M53" s="7">
        <f t="shared" si="3"/>
        <v>280066.23287671234</v>
      </c>
    </row>
    <row r="54" spans="1:14" ht="15.75" customHeight="1">
      <c r="A54" s="6" t="s">
        <v>169</v>
      </c>
      <c r="B54" s="6" t="s">
        <v>22</v>
      </c>
      <c r="C54" s="6" t="s">
        <v>199</v>
      </c>
      <c r="D54" s="42">
        <v>45322</v>
      </c>
      <c r="E54" s="13" t="str">
        <f t="shared" si="4"/>
        <v>January</v>
      </c>
      <c r="F54" s="13"/>
      <c r="G54" s="13">
        <v>45570</v>
      </c>
      <c r="H54" s="14">
        <f t="shared" si="6"/>
        <v>249</v>
      </c>
      <c r="I54" s="7">
        <v>377700</v>
      </c>
      <c r="J54" s="7">
        <f t="shared" si="5"/>
        <v>257663.83561643836</v>
      </c>
      <c r="K54" s="7">
        <f t="shared" si="2"/>
        <v>12883.191780821919</v>
      </c>
      <c r="L54" s="7">
        <v>3000</v>
      </c>
      <c r="M54" s="7">
        <f t="shared" si="3"/>
        <v>273547.0273972603</v>
      </c>
    </row>
    <row r="55" spans="1:14" ht="15.75" customHeight="1">
      <c r="A55" s="6" t="s">
        <v>169</v>
      </c>
      <c r="B55" s="6" t="s">
        <v>22</v>
      </c>
      <c r="C55" s="6" t="s">
        <v>200</v>
      </c>
      <c r="D55" s="42">
        <v>45322</v>
      </c>
      <c r="E55" s="13" t="str">
        <f t="shared" si="4"/>
        <v>January</v>
      </c>
      <c r="F55" s="13"/>
      <c r="G55" s="13">
        <v>45570</v>
      </c>
      <c r="H55" s="14">
        <f t="shared" si="6"/>
        <v>249</v>
      </c>
      <c r="I55" s="7">
        <v>377700</v>
      </c>
      <c r="J55" s="7">
        <f t="shared" si="5"/>
        <v>257663.83561643836</v>
      </c>
      <c r="K55" s="7">
        <f t="shared" si="2"/>
        <v>12883.191780821919</v>
      </c>
      <c r="L55" s="7">
        <v>3000</v>
      </c>
      <c r="M55" s="7">
        <f t="shared" si="3"/>
        <v>273547.0273972603</v>
      </c>
    </row>
    <row r="56" spans="1:14" ht="15.75" customHeight="1">
      <c r="A56" s="6" t="s">
        <v>169</v>
      </c>
      <c r="B56" s="6" t="s">
        <v>22</v>
      </c>
      <c r="C56" s="6" t="s">
        <v>201</v>
      </c>
      <c r="D56" s="42">
        <v>45324</v>
      </c>
      <c r="E56" s="13" t="str">
        <f t="shared" si="4"/>
        <v>February</v>
      </c>
      <c r="F56" s="13"/>
      <c r="G56" s="13">
        <v>45570</v>
      </c>
      <c r="H56" s="14">
        <f t="shared" si="6"/>
        <v>247</v>
      </c>
      <c r="I56" s="7">
        <v>377700</v>
      </c>
      <c r="J56" s="7">
        <f t="shared" si="5"/>
        <v>255594.24657534246</v>
      </c>
      <c r="K56" s="7">
        <f t="shared" si="2"/>
        <v>12779.712328767124</v>
      </c>
      <c r="L56" s="7">
        <v>3000</v>
      </c>
      <c r="M56" s="7">
        <f t="shared" si="3"/>
        <v>271373.9589041096</v>
      </c>
    </row>
    <row r="57" spans="1:14" ht="15.75" customHeight="1">
      <c r="A57" s="6" t="s">
        <v>169</v>
      </c>
      <c r="B57" s="6" t="s">
        <v>22</v>
      </c>
      <c r="C57" s="6" t="s">
        <v>202</v>
      </c>
      <c r="D57" s="42">
        <v>45324</v>
      </c>
      <c r="E57" s="13" t="str">
        <f t="shared" si="4"/>
        <v>February</v>
      </c>
      <c r="F57" s="13"/>
      <c r="G57" s="13">
        <v>45570</v>
      </c>
      <c r="H57" s="14">
        <f t="shared" si="6"/>
        <v>247</v>
      </c>
      <c r="I57" s="7">
        <v>377700</v>
      </c>
      <c r="J57" s="7">
        <f t="shared" si="5"/>
        <v>255594.24657534246</v>
      </c>
      <c r="K57" s="7">
        <f t="shared" si="2"/>
        <v>12779.712328767124</v>
      </c>
      <c r="L57" s="7">
        <v>3000</v>
      </c>
      <c r="M57" s="7">
        <f t="shared" si="3"/>
        <v>271373.9589041096</v>
      </c>
    </row>
    <row r="58" spans="1:14" ht="15.75" customHeight="1">
      <c r="A58" s="6" t="s">
        <v>169</v>
      </c>
      <c r="B58" s="6" t="s">
        <v>22</v>
      </c>
      <c r="C58" s="6" t="s">
        <v>203</v>
      </c>
      <c r="D58" s="42">
        <v>45324</v>
      </c>
      <c r="E58" s="13" t="str">
        <f t="shared" si="4"/>
        <v>February</v>
      </c>
      <c r="F58" s="13"/>
      <c r="G58" s="13">
        <v>45570</v>
      </c>
      <c r="H58" s="14">
        <f t="shared" si="6"/>
        <v>247</v>
      </c>
      <c r="I58" s="7">
        <v>377700</v>
      </c>
      <c r="J58" s="7">
        <f t="shared" si="5"/>
        <v>255594.24657534246</v>
      </c>
      <c r="K58" s="7">
        <f t="shared" si="2"/>
        <v>12779.712328767124</v>
      </c>
      <c r="L58" s="7">
        <v>6000</v>
      </c>
      <c r="M58" s="7">
        <f t="shared" si="3"/>
        <v>274373.9589041096</v>
      </c>
    </row>
    <row r="59" spans="1:14" ht="15.75" customHeight="1">
      <c r="A59" s="6" t="s">
        <v>169</v>
      </c>
      <c r="B59" s="6" t="s">
        <v>22</v>
      </c>
      <c r="C59" s="6" t="s">
        <v>204</v>
      </c>
      <c r="D59" s="42">
        <v>45324</v>
      </c>
      <c r="E59" s="13" t="str">
        <f t="shared" si="4"/>
        <v>February</v>
      </c>
      <c r="F59" s="13"/>
      <c r="G59" s="13">
        <v>45570</v>
      </c>
      <c r="H59" s="14">
        <f t="shared" si="6"/>
        <v>247</v>
      </c>
      <c r="I59" s="7">
        <v>377700</v>
      </c>
      <c r="J59" s="7">
        <f t="shared" si="5"/>
        <v>255594.24657534246</v>
      </c>
      <c r="K59" s="7">
        <f t="shared" si="2"/>
        <v>12779.712328767124</v>
      </c>
      <c r="L59" s="7">
        <v>3000</v>
      </c>
      <c r="M59" s="7">
        <f t="shared" si="3"/>
        <v>271373.9589041096</v>
      </c>
    </row>
    <row r="60" spans="1:14" ht="15.75" customHeight="1">
      <c r="A60" s="6" t="s">
        <v>169</v>
      </c>
      <c r="B60" s="6" t="s">
        <v>22</v>
      </c>
      <c r="C60" s="6" t="s">
        <v>205</v>
      </c>
      <c r="D60" s="42">
        <v>45324</v>
      </c>
      <c r="E60" s="13" t="str">
        <f t="shared" si="4"/>
        <v>February</v>
      </c>
      <c r="F60" s="13"/>
      <c r="G60" s="13">
        <v>45570</v>
      </c>
      <c r="H60" s="14">
        <f t="shared" si="6"/>
        <v>247</v>
      </c>
      <c r="I60" s="7">
        <v>377700</v>
      </c>
      <c r="J60" s="7">
        <f t="shared" si="5"/>
        <v>255594.24657534246</v>
      </c>
      <c r="K60" s="7">
        <f t="shared" si="2"/>
        <v>12779.712328767124</v>
      </c>
      <c r="L60" s="7">
        <v>3000</v>
      </c>
      <c r="M60" s="7">
        <f t="shared" si="3"/>
        <v>271373.9589041096</v>
      </c>
    </row>
    <row r="61" spans="1:14" ht="15.75" customHeight="1">
      <c r="A61" s="6" t="s">
        <v>169</v>
      </c>
      <c r="B61" s="6" t="s">
        <v>22</v>
      </c>
      <c r="C61" s="6" t="s">
        <v>206</v>
      </c>
      <c r="D61" s="42">
        <v>45324</v>
      </c>
      <c r="E61" s="13" t="str">
        <f t="shared" si="4"/>
        <v>February</v>
      </c>
      <c r="F61" s="13"/>
      <c r="G61" s="13">
        <v>45570</v>
      </c>
      <c r="H61" s="14">
        <f t="shared" si="6"/>
        <v>247</v>
      </c>
      <c r="I61" s="7">
        <v>377700</v>
      </c>
      <c r="J61" s="7">
        <f t="shared" si="5"/>
        <v>255594.24657534246</v>
      </c>
      <c r="K61" s="7">
        <f t="shared" si="2"/>
        <v>12779.712328767124</v>
      </c>
      <c r="L61" s="7">
        <v>3000</v>
      </c>
      <c r="M61" s="7">
        <f t="shared" si="3"/>
        <v>271373.9589041096</v>
      </c>
    </row>
    <row r="62" spans="1:14" ht="15.75" customHeight="1">
      <c r="A62" s="6" t="s">
        <v>169</v>
      </c>
      <c r="B62" s="6" t="s">
        <v>22</v>
      </c>
      <c r="C62" s="6" t="s">
        <v>207</v>
      </c>
      <c r="D62" s="42">
        <v>45324</v>
      </c>
      <c r="E62" s="13" t="str">
        <f t="shared" si="4"/>
        <v>February</v>
      </c>
      <c r="F62" s="13"/>
      <c r="G62" s="13">
        <v>45570</v>
      </c>
      <c r="H62" s="14">
        <f t="shared" si="6"/>
        <v>247</v>
      </c>
      <c r="I62" s="7">
        <v>377700</v>
      </c>
      <c r="J62" s="7">
        <f t="shared" si="5"/>
        <v>255594.24657534246</v>
      </c>
      <c r="K62" s="7">
        <f t="shared" si="2"/>
        <v>12779.712328767124</v>
      </c>
      <c r="L62" s="7">
        <v>3000</v>
      </c>
      <c r="M62" s="7">
        <f t="shared" si="3"/>
        <v>271373.9589041096</v>
      </c>
    </row>
    <row r="63" spans="1:14" ht="15.75" customHeight="1">
      <c r="A63" s="6" t="s">
        <v>169</v>
      </c>
      <c r="B63" s="6" t="s">
        <v>22</v>
      </c>
      <c r="C63" s="6" t="s">
        <v>208</v>
      </c>
      <c r="D63" s="42">
        <v>45329</v>
      </c>
      <c r="E63" s="13" t="str">
        <f t="shared" si="4"/>
        <v>February</v>
      </c>
      <c r="F63" s="13"/>
      <c r="G63" s="13">
        <v>45570</v>
      </c>
      <c r="H63" s="14">
        <f t="shared" si="6"/>
        <v>242</v>
      </c>
      <c r="I63" s="7">
        <v>377700</v>
      </c>
      <c r="J63" s="7">
        <f t="shared" si="5"/>
        <v>250420.27397260274</v>
      </c>
      <c r="K63" s="7">
        <f t="shared" si="2"/>
        <v>12521.013698630137</v>
      </c>
      <c r="L63" s="7">
        <v>3000</v>
      </c>
      <c r="M63" s="7">
        <f t="shared" si="3"/>
        <v>265941.28767123289</v>
      </c>
    </row>
    <row r="64" spans="1:14" ht="15.75" customHeight="1">
      <c r="A64" s="6" t="s">
        <v>169</v>
      </c>
      <c r="B64" s="6" t="s">
        <v>22</v>
      </c>
      <c r="C64" s="6" t="s">
        <v>209</v>
      </c>
      <c r="D64" s="42">
        <v>45329</v>
      </c>
      <c r="E64" s="13" t="str">
        <f t="shared" si="4"/>
        <v>February</v>
      </c>
      <c r="F64" s="13"/>
      <c r="G64" s="13">
        <v>45570</v>
      </c>
      <c r="H64" s="14">
        <f t="shared" si="6"/>
        <v>242</v>
      </c>
      <c r="I64" s="7">
        <v>377700</v>
      </c>
      <c r="J64" s="7">
        <f t="shared" si="5"/>
        <v>250420.27397260274</v>
      </c>
      <c r="K64" s="7">
        <f t="shared" si="2"/>
        <v>12521.013698630137</v>
      </c>
      <c r="L64" s="7">
        <v>3000</v>
      </c>
      <c r="M64" s="7">
        <f t="shared" si="3"/>
        <v>265941.28767123289</v>
      </c>
    </row>
    <row r="65" spans="1:16" ht="15.75" customHeight="1">
      <c r="A65" s="6" t="s">
        <v>169</v>
      </c>
      <c r="B65" s="6" t="s">
        <v>22</v>
      </c>
      <c r="C65" s="6" t="s">
        <v>210</v>
      </c>
      <c r="D65" s="42">
        <v>45329</v>
      </c>
      <c r="E65" s="13" t="str">
        <f t="shared" si="4"/>
        <v>February</v>
      </c>
      <c r="F65" s="13"/>
      <c r="G65" s="13">
        <v>45570</v>
      </c>
      <c r="H65" s="14">
        <f t="shared" si="6"/>
        <v>242</v>
      </c>
      <c r="I65" s="7">
        <v>377700</v>
      </c>
      <c r="J65" s="7">
        <f t="shared" si="5"/>
        <v>250420.27397260274</v>
      </c>
      <c r="K65" s="7">
        <f t="shared" si="2"/>
        <v>12521.013698630137</v>
      </c>
      <c r="L65" s="7">
        <v>3000</v>
      </c>
      <c r="M65" s="7">
        <f t="shared" si="3"/>
        <v>265941.28767123289</v>
      </c>
    </row>
    <row r="66" spans="1:16" ht="15.75" customHeight="1">
      <c r="A66" s="6" t="s">
        <v>169</v>
      </c>
      <c r="B66" s="6" t="s">
        <v>22</v>
      </c>
      <c r="C66" s="6" t="s">
        <v>211</v>
      </c>
      <c r="D66" s="42">
        <v>45329</v>
      </c>
      <c r="E66" s="13" t="str">
        <f t="shared" si="4"/>
        <v>February</v>
      </c>
      <c r="F66" s="13"/>
      <c r="G66" s="13">
        <v>45570</v>
      </c>
      <c r="H66" s="14">
        <f t="shared" si="6"/>
        <v>242</v>
      </c>
      <c r="I66" s="7">
        <v>377700</v>
      </c>
      <c r="J66" s="7">
        <f t="shared" si="5"/>
        <v>250420.27397260274</v>
      </c>
      <c r="K66" s="7">
        <f t="shared" si="2"/>
        <v>12521.013698630137</v>
      </c>
      <c r="L66" s="7">
        <v>3000</v>
      </c>
      <c r="M66" s="7">
        <f t="shared" si="3"/>
        <v>265941.28767123289</v>
      </c>
    </row>
    <row r="67" spans="1:16" ht="15.75" customHeight="1">
      <c r="A67" s="6" t="s">
        <v>169</v>
      </c>
      <c r="B67" s="6" t="s">
        <v>22</v>
      </c>
      <c r="C67" s="6" t="s">
        <v>212</v>
      </c>
      <c r="D67" s="42">
        <v>45329</v>
      </c>
      <c r="E67" s="13" t="str">
        <f t="shared" ref="E67:E130" si="7">TEXT(D67, "mmmm")</f>
        <v>February</v>
      </c>
      <c r="F67" s="13"/>
      <c r="G67" s="13">
        <v>45570</v>
      </c>
      <c r="H67" s="14">
        <f t="shared" si="6"/>
        <v>242</v>
      </c>
      <c r="I67" s="7">
        <v>377700</v>
      </c>
      <c r="J67" s="7">
        <f t="shared" si="5"/>
        <v>250420.27397260274</v>
      </c>
      <c r="K67" s="7">
        <f t="shared" si="2"/>
        <v>12521.013698630137</v>
      </c>
      <c r="L67" s="7">
        <v>3000</v>
      </c>
      <c r="M67" s="7">
        <f t="shared" si="3"/>
        <v>265941.28767123289</v>
      </c>
    </row>
    <row r="68" spans="1:16" ht="15.75" customHeight="1">
      <c r="A68" s="6" t="s">
        <v>169</v>
      </c>
      <c r="B68" s="6" t="s">
        <v>22</v>
      </c>
      <c r="C68" s="6" t="s">
        <v>213</v>
      </c>
      <c r="D68" s="42">
        <v>45329</v>
      </c>
      <c r="E68" s="13" t="str">
        <f t="shared" si="7"/>
        <v>February</v>
      </c>
      <c r="F68" s="13"/>
      <c r="G68" s="13">
        <v>45570</v>
      </c>
      <c r="H68" s="14">
        <f t="shared" si="6"/>
        <v>242</v>
      </c>
      <c r="I68" s="7">
        <v>377700</v>
      </c>
      <c r="J68" s="7">
        <f t="shared" si="5"/>
        <v>250420.27397260274</v>
      </c>
      <c r="K68" s="7">
        <f t="shared" si="2"/>
        <v>12521.013698630137</v>
      </c>
      <c r="L68" s="7">
        <v>3000</v>
      </c>
      <c r="M68" s="7">
        <f t="shared" si="3"/>
        <v>265941.28767123289</v>
      </c>
    </row>
    <row r="69" spans="1:16" ht="15.75" customHeight="1">
      <c r="A69" s="6" t="s">
        <v>169</v>
      </c>
      <c r="B69" s="6" t="s">
        <v>22</v>
      </c>
      <c r="C69" s="6" t="s">
        <v>214</v>
      </c>
      <c r="D69" s="42">
        <v>45329</v>
      </c>
      <c r="E69" s="13" t="str">
        <f t="shared" si="7"/>
        <v>February</v>
      </c>
      <c r="F69" s="13"/>
      <c r="G69" s="13">
        <v>45570</v>
      </c>
      <c r="H69" s="14">
        <f t="shared" si="6"/>
        <v>242</v>
      </c>
      <c r="I69" s="7">
        <v>377700</v>
      </c>
      <c r="J69" s="7">
        <f t="shared" si="5"/>
        <v>250420.27397260274</v>
      </c>
      <c r="K69" s="7">
        <f t="shared" si="2"/>
        <v>12521.013698630137</v>
      </c>
      <c r="L69" s="7">
        <v>3000</v>
      </c>
      <c r="M69" s="7">
        <f t="shared" si="3"/>
        <v>265941.28767123289</v>
      </c>
    </row>
    <row r="70" spans="1:16" ht="15.75" customHeight="1">
      <c r="A70" s="6" t="s">
        <v>169</v>
      </c>
      <c r="B70" s="6" t="s">
        <v>22</v>
      </c>
      <c r="C70" s="6" t="s">
        <v>215</v>
      </c>
      <c r="D70" s="42">
        <v>45329</v>
      </c>
      <c r="E70" s="13" t="str">
        <f t="shared" si="7"/>
        <v>February</v>
      </c>
      <c r="F70" s="13"/>
      <c r="G70" s="13">
        <v>45570</v>
      </c>
      <c r="H70" s="14">
        <f t="shared" si="6"/>
        <v>242</v>
      </c>
      <c r="I70" s="7">
        <v>377700</v>
      </c>
      <c r="J70" s="7">
        <f t="shared" si="5"/>
        <v>250420.27397260274</v>
      </c>
      <c r="K70" s="7">
        <f t="shared" si="2"/>
        <v>12521.013698630137</v>
      </c>
      <c r="L70" s="7">
        <v>3000</v>
      </c>
      <c r="M70" s="7">
        <f t="shared" si="3"/>
        <v>265941.28767123289</v>
      </c>
    </row>
    <row r="71" spans="1:16" ht="15.75" customHeight="1">
      <c r="A71" s="6" t="s">
        <v>169</v>
      </c>
      <c r="B71" s="6" t="s">
        <v>22</v>
      </c>
      <c r="C71" s="6" t="s">
        <v>216</v>
      </c>
      <c r="D71" s="42">
        <v>45329</v>
      </c>
      <c r="E71" s="13" t="str">
        <f t="shared" si="7"/>
        <v>February</v>
      </c>
      <c r="F71" s="13"/>
      <c r="G71" s="13">
        <v>45570</v>
      </c>
      <c r="H71" s="14">
        <f t="shared" si="6"/>
        <v>242</v>
      </c>
      <c r="I71" s="7">
        <v>377700</v>
      </c>
      <c r="J71" s="7">
        <f t="shared" si="5"/>
        <v>250420.27397260274</v>
      </c>
      <c r="K71" s="7">
        <f t="shared" si="2"/>
        <v>12521.013698630137</v>
      </c>
      <c r="L71" s="7">
        <v>3000</v>
      </c>
      <c r="M71" s="7">
        <f t="shared" si="3"/>
        <v>265941.28767123289</v>
      </c>
    </row>
    <row r="72" spans="1:16" ht="15.75" customHeight="1">
      <c r="A72" s="6" t="s">
        <v>169</v>
      </c>
      <c r="B72" s="6" t="s">
        <v>22</v>
      </c>
      <c r="C72" s="6" t="s">
        <v>217</v>
      </c>
      <c r="D72" s="42">
        <v>45329</v>
      </c>
      <c r="E72" s="13" t="str">
        <f t="shared" si="7"/>
        <v>February</v>
      </c>
      <c r="F72" s="13"/>
      <c r="G72" s="13">
        <v>45570</v>
      </c>
      <c r="H72" s="14">
        <f t="shared" si="6"/>
        <v>242</v>
      </c>
      <c r="I72" s="7">
        <v>377700</v>
      </c>
      <c r="J72" s="7">
        <f t="shared" si="5"/>
        <v>250420.27397260274</v>
      </c>
      <c r="K72" s="7">
        <f t="shared" si="2"/>
        <v>12521.013698630137</v>
      </c>
      <c r="L72" s="7">
        <v>3000</v>
      </c>
      <c r="M72" s="7">
        <f t="shared" si="3"/>
        <v>265941.28767123289</v>
      </c>
    </row>
    <row r="73" spans="1:16" ht="15.75" customHeight="1">
      <c r="A73" s="6" t="s">
        <v>120</v>
      </c>
      <c r="B73" s="6" t="s">
        <v>52</v>
      </c>
      <c r="C73" s="6" t="s">
        <v>218</v>
      </c>
      <c r="D73" s="42">
        <v>45313</v>
      </c>
      <c r="E73" s="13" t="str">
        <f t="shared" si="7"/>
        <v>January</v>
      </c>
      <c r="F73" s="13"/>
      <c r="G73" s="13">
        <v>45494</v>
      </c>
      <c r="H73" s="14">
        <f t="shared" si="6"/>
        <v>182</v>
      </c>
      <c r="I73" s="7">
        <v>867136</v>
      </c>
      <c r="J73" s="7">
        <f t="shared" si="5"/>
        <v>432380.14246575342</v>
      </c>
      <c r="K73" s="7">
        <f t="shared" si="2"/>
        <v>21619.007123287673</v>
      </c>
      <c r="L73" s="7">
        <v>10000</v>
      </c>
      <c r="M73" s="7">
        <f t="shared" si="3"/>
        <v>463999.14958904107</v>
      </c>
    </row>
    <row r="74" spans="1:16" ht="15.75" customHeight="1">
      <c r="A74" s="6" t="s">
        <v>120</v>
      </c>
      <c r="B74" s="6" t="s">
        <v>52</v>
      </c>
      <c r="C74" s="6" t="s">
        <v>219</v>
      </c>
      <c r="D74" s="42">
        <v>45321</v>
      </c>
      <c r="E74" s="13" t="str">
        <f t="shared" si="7"/>
        <v>January</v>
      </c>
      <c r="F74" s="13"/>
      <c r="G74" s="13">
        <v>45494</v>
      </c>
      <c r="H74" s="14">
        <f t="shared" si="6"/>
        <v>174</v>
      </c>
      <c r="I74" s="7">
        <v>867136</v>
      </c>
      <c r="J74" s="7">
        <f t="shared" si="5"/>
        <v>413374.42191780824</v>
      </c>
      <c r="K74" s="7">
        <f t="shared" si="2"/>
        <v>20668.721095890414</v>
      </c>
      <c r="L74" s="7">
        <v>10000</v>
      </c>
      <c r="M74" s="7">
        <f t="shared" si="3"/>
        <v>444043.14301369863</v>
      </c>
    </row>
    <row r="75" spans="1:16" ht="15.75" customHeight="1">
      <c r="A75" s="6" t="s">
        <v>220</v>
      </c>
      <c r="B75" s="6" t="s">
        <v>22</v>
      </c>
      <c r="C75" s="6" t="s">
        <v>221</v>
      </c>
      <c r="D75" s="42">
        <v>45348</v>
      </c>
      <c r="E75" s="13" t="str">
        <f t="shared" si="7"/>
        <v>February</v>
      </c>
      <c r="F75" s="13"/>
      <c r="G75" s="13">
        <v>45535</v>
      </c>
      <c r="H75" s="14">
        <f t="shared" si="6"/>
        <v>188</v>
      </c>
      <c r="I75" s="7">
        <v>417659</v>
      </c>
      <c r="J75" s="7">
        <f t="shared" si="5"/>
        <v>215122.9917808219</v>
      </c>
      <c r="K75" s="7">
        <f t="shared" si="2"/>
        <v>10756.149589041095</v>
      </c>
      <c r="L75" s="7">
        <v>10000</v>
      </c>
      <c r="M75" s="7">
        <f t="shared" si="3"/>
        <v>235879.14136986301</v>
      </c>
      <c r="O75" s="17"/>
      <c r="P75" s="17"/>
    </row>
    <row r="76" spans="1:16" ht="15.75" customHeight="1">
      <c r="A76" s="6" t="s">
        <v>222</v>
      </c>
      <c r="B76" s="6" t="s">
        <v>22</v>
      </c>
      <c r="C76" s="6" t="s">
        <v>223</v>
      </c>
      <c r="D76" s="42">
        <v>45358</v>
      </c>
      <c r="E76" s="13" t="str">
        <f t="shared" si="7"/>
        <v>March</v>
      </c>
      <c r="F76" s="13"/>
      <c r="G76" s="13">
        <v>45559</v>
      </c>
      <c r="H76" s="14">
        <f t="shared" si="6"/>
        <v>202</v>
      </c>
      <c r="I76" s="7">
        <v>82199</v>
      </c>
      <c r="J76" s="7">
        <f t="shared" si="5"/>
        <v>45490.953424657535</v>
      </c>
      <c r="K76" s="7">
        <f t="shared" si="2"/>
        <v>2274.5476712328768</v>
      </c>
      <c r="L76" s="7">
        <v>5000</v>
      </c>
      <c r="M76" s="7">
        <f t="shared" si="3"/>
        <v>52765.501095890409</v>
      </c>
    </row>
    <row r="77" spans="1:16" ht="15.75" customHeight="1">
      <c r="A77" s="6" t="s">
        <v>224</v>
      </c>
      <c r="B77" s="6" t="s">
        <v>26</v>
      </c>
      <c r="C77" s="6" t="s">
        <v>225</v>
      </c>
      <c r="D77" s="42">
        <v>45386</v>
      </c>
      <c r="E77" s="13" t="str">
        <f t="shared" si="7"/>
        <v>April</v>
      </c>
      <c r="F77" s="13"/>
      <c r="G77" s="13">
        <v>45595</v>
      </c>
      <c r="H77" s="14">
        <f t="shared" si="6"/>
        <v>210</v>
      </c>
      <c r="I77" s="7">
        <v>1583036</v>
      </c>
      <c r="J77" s="7">
        <f t="shared" si="5"/>
        <v>910787.8356164383</v>
      </c>
      <c r="K77" s="7">
        <f t="shared" si="2"/>
        <v>45539.391780821919</v>
      </c>
      <c r="L77" s="7">
        <v>50000</v>
      </c>
      <c r="M77" s="7">
        <f t="shared" si="3"/>
        <v>1006327.2273972603</v>
      </c>
    </row>
    <row r="78" spans="1:16" ht="15.75" customHeight="1">
      <c r="A78" s="6" t="s">
        <v>169</v>
      </c>
      <c r="B78" s="6" t="s">
        <v>22</v>
      </c>
      <c r="C78" s="6" t="s">
        <v>226</v>
      </c>
      <c r="D78" s="42">
        <v>45350</v>
      </c>
      <c r="E78" s="13" t="str">
        <f t="shared" si="7"/>
        <v>February</v>
      </c>
      <c r="F78" s="13"/>
      <c r="G78" s="13">
        <v>45570</v>
      </c>
      <c r="H78" s="14">
        <f t="shared" si="6"/>
        <v>221</v>
      </c>
      <c r="I78" s="7">
        <v>377700</v>
      </c>
      <c r="J78" s="7">
        <f t="shared" si="5"/>
        <v>228689.5890410959</v>
      </c>
      <c r="K78" s="7">
        <f t="shared" si="2"/>
        <v>11434.479452054795</v>
      </c>
      <c r="L78" s="7">
        <v>3000</v>
      </c>
      <c r="M78" s="7">
        <f t="shared" si="3"/>
        <v>243124.0684931507</v>
      </c>
    </row>
    <row r="79" spans="1:16" ht="15.75" customHeight="1">
      <c r="A79" s="6" t="s">
        <v>169</v>
      </c>
      <c r="B79" s="6" t="s">
        <v>22</v>
      </c>
      <c r="C79" s="6" t="s">
        <v>227</v>
      </c>
      <c r="D79" s="42">
        <v>45359</v>
      </c>
      <c r="E79" s="13" t="str">
        <f t="shared" si="7"/>
        <v>March</v>
      </c>
      <c r="F79" s="13"/>
      <c r="G79" s="13">
        <v>45570</v>
      </c>
      <c r="H79" s="14">
        <f t="shared" si="6"/>
        <v>212</v>
      </c>
      <c r="I79" s="7">
        <v>377700</v>
      </c>
      <c r="J79" s="7">
        <f t="shared" si="5"/>
        <v>219376.43835616438</v>
      </c>
      <c r="K79" s="7">
        <f t="shared" si="2"/>
        <v>10968.82191780822</v>
      </c>
      <c r="L79" s="7">
        <v>3000</v>
      </c>
      <c r="M79" s="7">
        <f t="shared" si="3"/>
        <v>233345.26027397258</v>
      </c>
    </row>
    <row r="80" spans="1:16" ht="15.75" customHeight="1">
      <c r="A80" s="6" t="s">
        <v>169</v>
      </c>
      <c r="B80" s="6" t="s">
        <v>22</v>
      </c>
      <c r="C80" s="6" t="s">
        <v>228</v>
      </c>
      <c r="D80" s="42">
        <v>45362</v>
      </c>
      <c r="E80" s="13" t="str">
        <f t="shared" si="7"/>
        <v>March</v>
      </c>
      <c r="F80" s="13"/>
      <c r="G80" s="13">
        <v>45570</v>
      </c>
      <c r="H80" s="14">
        <f t="shared" si="6"/>
        <v>209</v>
      </c>
      <c r="I80" s="7">
        <v>377700</v>
      </c>
      <c r="J80" s="7">
        <f t="shared" si="5"/>
        <v>216272.05479452055</v>
      </c>
      <c r="K80" s="7">
        <f t="shared" si="2"/>
        <v>10813.602739726028</v>
      </c>
      <c r="L80" s="7">
        <v>3000</v>
      </c>
      <c r="M80" s="7">
        <f t="shared" si="3"/>
        <v>230085.65753424657</v>
      </c>
    </row>
    <row r="81" spans="1:13" ht="15.75" customHeight="1">
      <c r="A81" s="6" t="s">
        <v>169</v>
      </c>
      <c r="B81" s="6" t="s">
        <v>22</v>
      </c>
      <c r="C81" s="6" t="s">
        <v>229</v>
      </c>
      <c r="D81" s="42">
        <v>45370</v>
      </c>
      <c r="E81" s="13" t="str">
        <f t="shared" si="7"/>
        <v>March</v>
      </c>
      <c r="F81" s="13"/>
      <c r="G81" s="13">
        <v>45570</v>
      </c>
      <c r="H81" s="14">
        <f t="shared" si="6"/>
        <v>201</v>
      </c>
      <c r="I81" s="7">
        <v>377700</v>
      </c>
      <c r="J81" s="7">
        <f t="shared" si="5"/>
        <v>207993.69863013699</v>
      </c>
      <c r="K81" s="7">
        <f t="shared" si="2"/>
        <v>10399.68493150685</v>
      </c>
      <c r="L81" s="7">
        <v>3000</v>
      </c>
      <c r="M81" s="7">
        <f t="shared" si="3"/>
        <v>221393.38356164383</v>
      </c>
    </row>
    <row r="82" spans="1:13" ht="15.75" customHeight="1">
      <c r="A82" s="6" t="s">
        <v>169</v>
      </c>
      <c r="B82" s="6" t="s">
        <v>22</v>
      </c>
      <c r="C82" s="6" t="s">
        <v>230</v>
      </c>
      <c r="D82" s="42">
        <v>45370</v>
      </c>
      <c r="E82" s="13" t="str">
        <f t="shared" si="7"/>
        <v>March</v>
      </c>
      <c r="F82" s="13"/>
      <c r="G82" s="13">
        <v>45570</v>
      </c>
      <c r="H82" s="14">
        <f t="shared" si="6"/>
        <v>201</v>
      </c>
      <c r="I82" s="7">
        <v>377700</v>
      </c>
      <c r="J82" s="7">
        <f t="shared" si="5"/>
        <v>207993.69863013699</v>
      </c>
      <c r="K82" s="7">
        <f t="shared" si="2"/>
        <v>10399.68493150685</v>
      </c>
      <c r="L82" s="7">
        <v>3000</v>
      </c>
      <c r="M82" s="7">
        <f t="shared" si="3"/>
        <v>221393.38356164383</v>
      </c>
    </row>
    <row r="83" spans="1:13" ht="15.75" customHeight="1">
      <c r="A83" s="6" t="s">
        <v>169</v>
      </c>
      <c r="B83" s="6" t="s">
        <v>22</v>
      </c>
      <c r="C83" s="6" t="s">
        <v>231</v>
      </c>
      <c r="D83" s="42">
        <v>45370</v>
      </c>
      <c r="E83" s="13" t="str">
        <f t="shared" si="7"/>
        <v>March</v>
      </c>
      <c r="F83" s="13"/>
      <c r="G83" s="13">
        <v>45570</v>
      </c>
      <c r="H83" s="14">
        <f t="shared" si="6"/>
        <v>201</v>
      </c>
      <c r="I83" s="7">
        <v>377700</v>
      </c>
      <c r="J83" s="7">
        <f t="shared" si="5"/>
        <v>207993.69863013699</v>
      </c>
      <c r="K83" s="7">
        <f t="shared" si="2"/>
        <v>10399.68493150685</v>
      </c>
      <c r="L83" s="7">
        <v>3000</v>
      </c>
      <c r="M83" s="7">
        <f t="shared" si="3"/>
        <v>221393.38356164383</v>
      </c>
    </row>
    <row r="84" spans="1:13" ht="15.75" customHeight="1">
      <c r="A84" s="6" t="s">
        <v>169</v>
      </c>
      <c r="B84" s="6" t="s">
        <v>22</v>
      </c>
      <c r="C84" s="6" t="s">
        <v>232</v>
      </c>
      <c r="D84" s="42">
        <v>45370</v>
      </c>
      <c r="E84" s="13" t="str">
        <f t="shared" si="7"/>
        <v>March</v>
      </c>
      <c r="F84" s="13"/>
      <c r="G84" s="13">
        <v>45570</v>
      </c>
      <c r="H84" s="14">
        <f t="shared" si="6"/>
        <v>201</v>
      </c>
      <c r="I84" s="7">
        <v>377700</v>
      </c>
      <c r="J84" s="7">
        <f t="shared" si="5"/>
        <v>207993.69863013699</v>
      </c>
      <c r="K84" s="7">
        <f t="shared" si="2"/>
        <v>10399.68493150685</v>
      </c>
      <c r="L84" s="7">
        <v>3000</v>
      </c>
      <c r="M84" s="7">
        <f t="shared" si="3"/>
        <v>221393.38356164383</v>
      </c>
    </row>
    <row r="85" spans="1:13" ht="15.75" customHeight="1">
      <c r="A85" s="6" t="s">
        <v>169</v>
      </c>
      <c r="B85" s="6" t="s">
        <v>22</v>
      </c>
      <c r="C85" s="6" t="s">
        <v>233</v>
      </c>
      <c r="D85" s="42">
        <v>45370</v>
      </c>
      <c r="E85" s="13" t="str">
        <f t="shared" si="7"/>
        <v>March</v>
      </c>
      <c r="F85" s="13"/>
      <c r="G85" s="13">
        <v>45570</v>
      </c>
      <c r="H85" s="14">
        <f t="shared" si="6"/>
        <v>201</v>
      </c>
      <c r="I85" s="7">
        <v>377700</v>
      </c>
      <c r="J85" s="7">
        <f t="shared" si="5"/>
        <v>207993.69863013699</v>
      </c>
      <c r="K85" s="7">
        <f t="shared" si="2"/>
        <v>10399.68493150685</v>
      </c>
      <c r="L85" s="7">
        <v>3000</v>
      </c>
      <c r="M85" s="7">
        <f t="shared" si="3"/>
        <v>221393.38356164383</v>
      </c>
    </row>
    <row r="86" spans="1:13" ht="15.75" customHeight="1">
      <c r="A86" s="6" t="s">
        <v>169</v>
      </c>
      <c r="B86" s="6" t="s">
        <v>22</v>
      </c>
      <c r="C86" s="6" t="s">
        <v>234</v>
      </c>
      <c r="D86" s="42">
        <v>45370</v>
      </c>
      <c r="E86" s="13" t="str">
        <f t="shared" si="7"/>
        <v>March</v>
      </c>
      <c r="F86" s="13"/>
      <c r="G86" s="13">
        <v>45570</v>
      </c>
      <c r="H86" s="14">
        <f t="shared" si="6"/>
        <v>201</v>
      </c>
      <c r="I86" s="7">
        <v>377700</v>
      </c>
      <c r="J86" s="7">
        <f t="shared" si="5"/>
        <v>207993.69863013699</v>
      </c>
      <c r="K86" s="7">
        <f t="shared" si="2"/>
        <v>10399.68493150685</v>
      </c>
      <c r="L86" s="7">
        <v>3000</v>
      </c>
      <c r="M86" s="7">
        <f t="shared" si="3"/>
        <v>221393.38356164383</v>
      </c>
    </row>
    <row r="87" spans="1:13" ht="15.75" customHeight="1">
      <c r="A87" s="6" t="s">
        <v>169</v>
      </c>
      <c r="B87" s="6" t="s">
        <v>22</v>
      </c>
      <c r="C87" s="6" t="s">
        <v>235</v>
      </c>
      <c r="D87" s="42">
        <v>45370</v>
      </c>
      <c r="E87" s="13" t="str">
        <f t="shared" si="7"/>
        <v>March</v>
      </c>
      <c r="F87" s="13"/>
      <c r="G87" s="13">
        <v>45570</v>
      </c>
      <c r="H87" s="14">
        <f t="shared" si="6"/>
        <v>201</v>
      </c>
      <c r="I87" s="7">
        <v>377700</v>
      </c>
      <c r="J87" s="7">
        <f t="shared" si="5"/>
        <v>207993.69863013699</v>
      </c>
      <c r="K87" s="7">
        <f t="shared" si="2"/>
        <v>10399.68493150685</v>
      </c>
      <c r="L87" s="7">
        <v>3000</v>
      </c>
      <c r="M87" s="7">
        <f t="shared" si="3"/>
        <v>221393.38356164383</v>
      </c>
    </row>
    <row r="88" spans="1:13" ht="15.75" customHeight="1">
      <c r="A88" s="6" t="s">
        <v>169</v>
      </c>
      <c r="B88" s="6" t="s">
        <v>22</v>
      </c>
      <c r="C88" s="6" t="s">
        <v>236</v>
      </c>
      <c r="D88" s="42">
        <v>45370</v>
      </c>
      <c r="E88" s="13" t="str">
        <f t="shared" si="7"/>
        <v>March</v>
      </c>
      <c r="F88" s="13"/>
      <c r="G88" s="13">
        <v>45570</v>
      </c>
      <c r="H88" s="14">
        <f t="shared" si="6"/>
        <v>201</v>
      </c>
      <c r="I88" s="7">
        <v>377700</v>
      </c>
      <c r="J88" s="7">
        <f t="shared" si="5"/>
        <v>207993.69863013699</v>
      </c>
      <c r="K88" s="7">
        <f t="shared" si="2"/>
        <v>10399.68493150685</v>
      </c>
      <c r="L88" s="7">
        <v>3000</v>
      </c>
      <c r="M88" s="7">
        <f t="shared" si="3"/>
        <v>221393.38356164383</v>
      </c>
    </row>
    <row r="89" spans="1:13" ht="15.75" customHeight="1">
      <c r="A89" s="6" t="s">
        <v>169</v>
      </c>
      <c r="B89" s="6" t="s">
        <v>22</v>
      </c>
      <c r="C89" s="6" t="s">
        <v>237</v>
      </c>
      <c r="D89" s="42">
        <v>45370</v>
      </c>
      <c r="E89" s="13" t="str">
        <f t="shared" si="7"/>
        <v>March</v>
      </c>
      <c r="F89" s="13"/>
      <c r="G89" s="13">
        <v>45570</v>
      </c>
      <c r="H89" s="14">
        <f t="shared" si="6"/>
        <v>201</v>
      </c>
      <c r="I89" s="7">
        <v>377700</v>
      </c>
      <c r="J89" s="7">
        <f t="shared" si="5"/>
        <v>207993.69863013699</v>
      </c>
      <c r="K89" s="7">
        <f t="shared" si="2"/>
        <v>10399.68493150685</v>
      </c>
      <c r="L89" s="7">
        <v>3000</v>
      </c>
      <c r="M89" s="7">
        <f t="shared" si="3"/>
        <v>221393.38356164383</v>
      </c>
    </row>
    <row r="90" spans="1:13" ht="15.75" customHeight="1">
      <c r="A90" s="6" t="s">
        <v>169</v>
      </c>
      <c r="B90" s="6" t="s">
        <v>22</v>
      </c>
      <c r="C90" s="6" t="s">
        <v>238</v>
      </c>
      <c r="D90" s="42">
        <v>45370</v>
      </c>
      <c r="E90" s="13" t="str">
        <f t="shared" si="7"/>
        <v>March</v>
      </c>
      <c r="F90" s="13"/>
      <c r="G90" s="13">
        <v>45570</v>
      </c>
      <c r="H90" s="14">
        <f t="shared" si="6"/>
        <v>201</v>
      </c>
      <c r="I90" s="7">
        <v>377700</v>
      </c>
      <c r="J90" s="7">
        <f t="shared" si="5"/>
        <v>207993.69863013699</v>
      </c>
      <c r="K90" s="7">
        <f t="shared" si="2"/>
        <v>10399.68493150685</v>
      </c>
      <c r="L90" s="7">
        <v>3000</v>
      </c>
      <c r="M90" s="7">
        <f t="shared" si="3"/>
        <v>221393.38356164383</v>
      </c>
    </row>
    <row r="91" spans="1:13" ht="15.75" customHeight="1">
      <c r="A91" s="6" t="s">
        <v>239</v>
      </c>
      <c r="B91" s="6" t="s">
        <v>22</v>
      </c>
      <c r="C91" s="6" t="s">
        <v>240</v>
      </c>
      <c r="D91" s="42">
        <v>45405</v>
      </c>
      <c r="E91" s="13" t="str">
        <f t="shared" si="7"/>
        <v>April</v>
      </c>
      <c r="F91" s="13"/>
      <c r="G91" s="13">
        <v>45715</v>
      </c>
      <c r="H91" s="14">
        <f t="shared" si="6"/>
        <v>311</v>
      </c>
      <c r="I91" s="7">
        <v>425036</v>
      </c>
      <c r="J91" s="7">
        <f t="shared" si="5"/>
        <v>362153.96164383559</v>
      </c>
      <c r="K91" s="7">
        <f t="shared" si="2"/>
        <v>18107.698082191779</v>
      </c>
      <c r="L91" s="7">
        <v>10000</v>
      </c>
      <c r="M91" s="7">
        <f t="shared" si="3"/>
        <v>390261.65972602734</v>
      </c>
    </row>
    <row r="92" spans="1:13" ht="15.75" customHeight="1">
      <c r="A92" s="6" t="s">
        <v>39</v>
      </c>
      <c r="B92" s="6" t="s">
        <v>22</v>
      </c>
      <c r="C92" s="6" t="s">
        <v>241</v>
      </c>
      <c r="D92" s="42">
        <v>45387</v>
      </c>
      <c r="E92" s="13" t="str">
        <f t="shared" si="7"/>
        <v>April</v>
      </c>
      <c r="F92" s="13"/>
      <c r="G92" s="13">
        <v>45701</v>
      </c>
      <c r="H92" s="14">
        <f t="shared" si="6"/>
        <v>315</v>
      </c>
      <c r="I92" s="7">
        <v>1258200</v>
      </c>
      <c r="J92" s="7">
        <f t="shared" si="5"/>
        <v>1085843.8356164384</v>
      </c>
      <c r="K92" s="7">
        <f t="shared" si="2"/>
        <v>54292.191780821922</v>
      </c>
      <c r="L92" s="7">
        <v>15000</v>
      </c>
      <c r="M92" s="7">
        <f t="shared" si="3"/>
        <v>1155136.0273972603</v>
      </c>
    </row>
    <row r="93" spans="1:13" ht="15.75" customHeight="1">
      <c r="A93" s="6" t="s">
        <v>48</v>
      </c>
      <c r="B93" s="6" t="s">
        <v>22</v>
      </c>
      <c r="C93" s="6" t="s">
        <v>242</v>
      </c>
      <c r="D93" s="42">
        <v>45413</v>
      </c>
      <c r="E93" s="13" t="str">
        <f t="shared" si="7"/>
        <v>May</v>
      </c>
      <c r="F93" s="13"/>
      <c r="G93" s="13">
        <v>45725</v>
      </c>
      <c r="H93" s="14">
        <f t="shared" si="6"/>
        <v>313</v>
      </c>
      <c r="I93" s="7">
        <v>1428135</v>
      </c>
      <c r="J93" s="7">
        <f t="shared" si="5"/>
        <v>1224674.6712328766</v>
      </c>
      <c r="K93" s="7">
        <f t="shared" si="2"/>
        <v>61233.733561643836</v>
      </c>
      <c r="L93" s="7">
        <v>10000</v>
      </c>
      <c r="M93" s="7">
        <f t="shared" si="3"/>
        <v>1295908.4047945205</v>
      </c>
    </row>
    <row r="94" spans="1:13" ht="15.75" customHeight="1">
      <c r="A94" s="6" t="s">
        <v>243</v>
      </c>
      <c r="B94" s="6" t="s">
        <v>22</v>
      </c>
      <c r="C94" s="6" t="s">
        <v>244</v>
      </c>
      <c r="D94" s="42">
        <v>45448</v>
      </c>
      <c r="E94" s="13" t="str">
        <f t="shared" si="7"/>
        <v>June</v>
      </c>
      <c r="F94" s="13"/>
      <c r="G94" s="13">
        <v>45535</v>
      </c>
      <c r="H94" s="14">
        <f>G94-D94</f>
        <v>87</v>
      </c>
      <c r="I94" s="7">
        <v>1323842</v>
      </c>
      <c r="J94" s="7">
        <f t="shared" si="5"/>
        <v>315545.90136986302</v>
      </c>
      <c r="K94" s="7">
        <f t="shared" si="2"/>
        <v>15777.295068493151</v>
      </c>
      <c r="L94" s="7">
        <v>50000</v>
      </c>
      <c r="M94" s="7">
        <f t="shared" si="3"/>
        <v>381323.19643835619</v>
      </c>
    </row>
    <row r="95" spans="1:13" ht="15.75" customHeight="1">
      <c r="A95" s="6" t="s">
        <v>243</v>
      </c>
      <c r="B95" s="6" t="s">
        <v>22</v>
      </c>
      <c r="C95" s="6" t="s">
        <v>245</v>
      </c>
      <c r="D95" s="42">
        <v>45448</v>
      </c>
      <c r="E95" s="13" t="str">
        <f t="shared" si="7"/>
        <v>June</v>
      </c>
      <c r="F95" s="13"/>
      <c r="G95" s="13">
        <v>45535</v>
      </c>
      <c r="H95" s="14">
        <f>G95-D95</f>
        <v>87</v>
      </c>
      <c r="I95" s="7">
        <v>828997</v>
      </c>
      <c r="J95" s="7">
        <f t="shared" si="5"/>
        <v>197596.54520547946</v>
      </c>
      <c r="K95" s="7">
        <f t="shared" si="2"/>
        <v>9879.8272602739744</v>
      </c>
      <c r="L95" s="7">
        <v>20000</v>
      </c>
      <c r="M95" s="7">
        <f t="shared" si="3"/>
        <v>227476.37246575343</v>
      </c>
    </row>
    <row r="96" spans="1:13" ht="15.75" customHeight="1">
      <c r="A96" s="6" t="s">
        <v>39</v>
      </c>
      <c r="B96" s="6" t="s">
        <v>22</v>
      </c>
      <c r="C96" s="6" t="s">
        <v>246</v>
      </c>
      <c r="D96" s="42">
        <v>45446</v>
      </c>
      <c r="E96" s="13" t="str">
        <f t="shared" si="7"/>
        <v>June</v>
      </c>
      <c r="F96" s="13"/>
      <c r="G96" s="13">
        <v>45701</v>
      </c>
      <c r="H96" s="14">
        <f>G96-D96+1</f>
        <v>256</v>
      </c>
      <c r="I96" s="7">
        <v>506911</v>
      </c>
      <c r="J96" s="7">
        <f t="shared" si="5"/>
        <v>355532.09863013698</v>
      </c>
      <c r="K96" s="7">
        <f t="shared" si="2"/>
        <v>17776.604931506849</v>
      </c>
      <c r="L96" s="7">
        <v>5000</v>
      </c>
      <c r="M96" s="7">
        <f t="shared" si="3"/>
        <v>378308.70356164384</v>
      </c>
    </row>
    <row r="97" spans="1:15" ht="15.75" customHeight="1">
      <c r="A97" s="6" t="s">
        <v>39</v>
      </c>
      <c r="B97" s="6" t="s">
        <v>22</v>
      </c>
      <c r="C97" s="6" t="s">
        <v>247</v>
      </c>
      <c r="D97" s="42">
        <v>45446</v>
      </c>
      <c r="E97" s="13" t="str">
        <f t="shared" si="7"/>
        <v>June</v>
      </c>
      <c r="F97" s="13"/>
      <c r="G97" s="13">
        <v>45701</v>
      </c>
      <c r="H97" s="14">
        <f>G97-D97+1</f>
        <v>256</v>
      </c>
      <c r="I97" s="7">
        <v>1509102</v>
      </c>
      <c r="J97" s="7">
        <f t="shared" si="5"/>
        <v>1058438.6630136985</v>
      </c>
      <c r="K97" s="7">
        <f t="shared" si="2"/>
        <v>52921.933150684927</v>
      </c>
      <c r="L97" s="7">
        <v>25000</v>
      </c>
      <c r="M97" s="7">
        <f t="shared" si="3"/>
        <v>1136360.5961643835</v>
      </c>
    </row>
    <row r="98" spans="1:15" ht="15.75" customHeight="1">
      <c r="A98" s="6" t="s">
        <v>39</v>
      </c>
      <c r="B98" s="6" t="s">
        <v>22</v>
      </c>
      <c r="C98" s="6" t="s">
        <v>248</v>
      </c>
      <c r="D98" s="42">
        <v>45446</v>
      </c>
      <c r="E98" s="13" t="str">
        <f t="shared" si="7"/>
        <v>June</v>
      </c>
      <c r="F98" s="13"/>
      <c r="G98" s="13">
        <v>45701</v>
      </c>
      <c r="H98" s="14">
        <f>G98-D98+1</f>
        <v>256</v>
      </c>
      <c r="I98" s="7">
        <v>506911</v>
      </c>
      <c r="J98" s="7">
        <f t="shared" si="5"/>
        <v>355532.09863013698</v>
      </c>
      <c r="K98" s="7">
        <f t="shared" si="2"/>
        <v>17776.604931506849</v>
      </c>
      <c r="L98" s="7">
        <v>5000</v>
      </c>
      <c r="M98" s="7">
        <f t="shared" si="3"/>
        <v>378308.70356164384</v>
      </c>
    </row>
    <row r="99" spans="1:15" ht="15.75" customHeight="1">
      <c r="A99" s="6" t="s">
        <v>39</v>
      </c>
      <c r="B99" s="6" t="s">
        <v>22</v>
      </c>
      <c r="C99" s="6" t="s">
        <v>249</v>
      </c>
      <c r="D99" s="42">
        <v>45446</v>
      </c>
      <c r="E99" s="13" t="str">
        <f t="shared" si="7"/>
        <v>June</v>
      </c>
      <c r="F99" s="13"/>
      <c r="G99" s="13">
        <v>45701</v>
      </c>
      <c r="H99" s="14">
        <f>G99-D99+1</f>
        <v>256</v>
      </c>
      <c r="I99" s="7">
        <v>506911</v>
      </c>
      <c r="J99" s="7">
        <f t="shared" si="5"/>
        <v>355532.09863013698</v>
      </c>
      <c r="K99" s="7">
        <f t="shared" si="2"/>
        <v>17776.604931506849</v>
      </c>
      <c r="L99" s="7">
        <v>5000</v>
      </c>
      <c r="M99" s="7">
        <f t="shared" si="3"/>
        <v>378308.70356164384</v>
      </c>
    </row>
    <row r="100" spans="1:15" ht="15.75" customHeight="1">
      <c r="A100" s="6" t="s">
        <v>250</v>
      </c>
      <c r="B100" s="6" t="s">
        <v>22</v>
      </c>
      <c r="C100" s="6" t="s">
        <v>251</v>
      </c>
      <c r="D100" s="42">
        <v>45432</v>
      </c>
      <c r="E100" s="13" t="str">
        <f t="shared" si="7"/>
        <v>May</v>
      </c>
      <c r="F100" s="13"/>
      <c r="G100" s="13">
        <v>45759</v>
      </c>
      <c r="H100" s="14">
        <f>G100-D100+1</f>
        <v>328</v>
      </c>
      <c r="I100" s="7">
        <v>372295</v>
      </c>
      <c r="J100" s="7">
        <f t="shared" si="5"/>
        <v>334555.50684931508</v>
      </c>
      <c r="K100" s="7">
        <f t="shared" si="2"/>
        <v>16727.775342465753</v>
      </c>
      <c r="L100" s="7">
        <v>10000</v>
      </c>
      <c r="M100" s="7">
        <f t="shared" si="3"/>
        <v>361283.2821917808</v>
      </c>
    </row>
    <row r="101" spans="1:15" ht="15.75" customHeight="1">
      <c r="A101" s="6" t="s">
        <v>64</v>
      </c>
      <c r="B101" s="6" t="s">
        <v>26</v>
      </c>
      <c r="C101" s="6" t="s">
        <v>252</v>
      </c>
      <c r="D101" s="42">
        <v>45434</v>
      </c>
      <c r="E101" s="13" t="str">
        <f t="shared" si="7"/>
        <v>May</v>
      </c>
      <c r="F101" s="13"/>
      <c r="G101" s="13">
        <v>45774</v>
      </c>
      <c r="H101" s="14">
        <f>G101-D101</f>
        <v>340</v>
      </c>
      <c r="I101" s="7">
        <v>1020717</v>
      </c>
      <c r="J101" s="7">
        <f t="shared" si="5"/>
        <v>950804.87671232875</v>
      </c>
      <c r="K101" s="7">
        <f t="shared" si="2"/>
        <v>47540.243835616442</v>
      </c>
      <c r="L101" s="7">
        <v>15000</v>
      </c>
      <c r="M101" s="7">
        <f t="shared" si="3"/>
        <v>1013345.1205479451</v>
      </c>
    </row>
    <row r="102" spans="1:15" ht="15.75" customHeight="1">
      <c r="A102" s="6" t="s">
        <v>64</v>
      </c>
      <c r="B102" s="6" t="s">
        <v>26</v>
      </c>
      <c r="C102" s="6" t="s">
        <v>253</v>
      </c>
      <c r="D102" s="42">
        <v>45434</v>
      </c>
      <c r="E102" s="13" t="str">
        <f t="shared" si="7"/>
        <v>May</v>
      </c>
      <c r="F102" s="13"/>
      <c r="G102" s="13">
        <v>45774</v>
      </c>
      <c r="H102" s="14">
        <f>G102-D102</f>
        <v>340</v>
      </c>
      <c r="I102" s="7">
        <v>490359</v>
      </c>
      <c r="J102" s="7">
        <f t="shared" si="5"/>
        <v>456772.76712328766</v>
      </c>
      <c r="K102" s="7">
        <f t="shared" si="2"/>
        <v>22838.638356164385</v>
      </c>
      <c r="L102" s="7">
        <v>5000</v>
      </c>
      <c r="M102" s="7">
        <f t="shared" si="3"/>
        <v>484611.40547945205</v>
      </c>
    </row>
    <row r="103" spans="1:15" ht="15.75" customHeight="1">
      <c r="A103" s="6" t="s">
        <v>64</v>
      </c>
      <c r="B103" s="6" t="s">
        <v>26</v>
      </c>
      <c r="C103" s="6" t="s">
        <v>254</v>
      </c>
      <c r="D103" s="42">
        <v>45434</v>
      </c>
      <c r="E103" s="13" t="str">
        <f t="shared" si="7"/>
        <v>May</v>
      </c>
      <c r="F103" s="13"/>
      <c r="G103" s="13">
        <v>45774</v>
      </c>
      <c r="H103" s="14">
        <f>G103-D103</f>
        <v>340</v>
      </c>
      <c r="I103" s="7">
        <v>1207021</v>
      </c>
      <c r="J103" s="7">
        <f t="shared" si="5"/>
        <v>1124348.3287671234</v>
      </c>
      <c r="K103" s="7">
        <f t="shared" si="2"/>
        <v>56217.416438356173</v>
      </c>
      <c r="L103" s="7">
        <v>20000</v>
      </c>
      <c r="M103" s="7">
        <f t="shared" si="3"/>
        <v>1200565.7452054797</v>
      </c>
    </row>
    <row r="104" spans="1:15" ht="15.75" customHeight="1">
      <c r="A104" s="6" t="s">
        <v>255</v>
      </c>
      <c r="B104" s="6" t="s">
        <v>22</v>
      </c>
      <c r="C104" s="6" t="s">
        <v>256</v>
      </c>
      <c r="D104" s="42">
        <v>45413</v>
      </c>
      <c r="E104" s="13" t="str">
        <f t="shared" si="7"/>
        <v>May</v>
      </c>
      <c r="F104" s="13"/>
      <c r="G104" s="13">
        <v>45535</v>
      </c>
      <c r="H104" s="14">
        <f>G104-D104</f>
        <v>122</v>
      </c>
      <c r="I104" s="7">
        <v>65916030.840000004</v>
      </c>
      <c r="J104" s="7">
        <f>I104*H104/122</f>
        <v>65916030.840000004</v>
      </c>
      <c r="K104" s="7">
        <f t="shared" si="2"/>
        <v>3295801.5420000004</v>
      </c>
      <c r="L104" s="7">
        <v>0</v>
      </c>
      <c r="M104" s="7">
        <f t="shared" si="3"/>
        <v>69211832.381999999</v>
      </c>
      <c r="N104" s="16"/>
      <c r="O104" s="15"/>
    </row>
    <row r="105" spans="1:15" ht="15.75" customHeight="1">
      <c r="A105" s="6" t="s">
        <v>81</v>
      </c>
      <c r="B105" s="6" t="s">
        <v>26</v>
      </c>
      <c r="C105" s="6" t="s">
        <v>257</v>
      </c>
      <c r="D105" s="42">
        <v>45456</v>
      </c>
      <c r="E105" s="13" t="str">
        <f t="shared" si="7"/>
        <v>June</v>
      </c>
      <c r="F105" s="13"/>
      <c r="G105" s="13">
        <v>45808</v>
      </c>
      <c r="H105" s="14">
        <f t="shared" ref="H105:H117" si="8">G105-D105+1</f>
        <v>353</v>
      </c>
      <c r="I105" s="7">
        <v>1356540</v>
      </c>
      <c r="J105" s="7">
        <f t="shared" ref="J105:J117" si="9">I105*H105/365</f>
        <v>1311941.4246575343</v>
      </c>
      <c r="K105" s="7">
        <f t="shared" si="2"/>
        <v>65597.071232876726</v>
      </c>
      <c r="L105" s="7">
        <v>25000</v>
      </c>
      <c r="M105" s="7">
        <f t="shared" si="3"/>
        <v>1402538.4958904111</v>
      </c>
      <c r="N105" s="16"/>
      <c r="O105" s="15"/>
    </row>
    <row r="106" spans="1:15" ht="15.75" customHeight="1">
      <c r="A106" s="18" t="s">
        <v>258</v>
      </c>
      <c r="B106" s="18" t="s">
        <v>22</v>
      </c>
      <c r="C106" s="18" t="s">
        <v>259</v>
      </c>
      <c r="D106" s="43">
        <v>45358</v>
      </c>
      <c r="E106" s="13" t="str">
        <f t="shared" si="7"/>
        <v>March</v>
      </c>
      <c r="F106" s="19"/>
      <c r="G106" s="19">
        <v>45581</v>
      </c>
      <c r="H106" s="20">
        <f t="shared" si="8"/>
        <v>224</v>
      </c>
      <c r="I106" s="21">
        <v>503134</v>
      </c>
      <c r="J106" s="21">
        <f t="shared" si="9"/>
        <v>308772.64657534246</v>
      </c>
      <c r="K106" s="21">
        <f t="shared" si="2"/>
        <v>15438.632328767124</v>
      </c>
      <c r="L106" s="21">
        <v>10000</v>
      </c>
      <c r="M106" s="21">
        <f t="shared" si="3"/>
        <v>334211.27890410955</v>
      </c>
      <c r="N106" s="16"/>
      <c r="O106" s="15"/>
    </row>
    <row r="107" spans="1:15" ht="15.75" customHeight="1">
      <c r="A107" s="18" t="s">
        <v>258</v>
      </c>
      <c r="B107" s="18" t="s">
        <v>22</v>
      </c>
      <c r="C107" s="18" t="s">
        <v>260</v>
      </c>
      <c r="D107" s="43">
        <v>45364</v>
      </c>
      <c r="E107" s="13" t="str">
        <f t="shared" si="7"/>
        <v>March</v>
      </c>
      <c r="F107" s="19"/>
      <c r="G107" s="19">
        <v>45581</v>
      </c>
      <c r="H107" s="20">
        <f t="shared" si="8"/>
        <v>218</v>
      </c>
      <c r="I107" s="21">
        <v>1228287</v>
      </c>
      <c r="J107" s="21">
        <f t="shared" si="9"/>
        <v>733607.03013698629</v>
      </c>
      <c r="K107" s="21">
        <f t="shared" si="2"/>
        <v>36680.351506849314</v>
      </c>
      <c r="L107" s="21">
        <v>60000</v>
      </c>
      <c r="M107" s="21">
        <f t="shared" si="3"/>
        <v>830287.38164383557</v>
      </c>
      <c r="N107" s="16"/>
      <c r="O107" s="15"/>
    </row>
    <row r="108" spans="1:15" ht="15.75" customHeight="1">
      <c r="A108" s="18" t="s">
        <v>258</v>
      </c>
      <c r="B108" s="18" t="s">
        <v>22</v>
      </c>
      <c r="C108" s="18" t="s">
        <v>261</v>
      </c>
      <c r="D108" s="43">
        <v>45425</v>
      </c>
      <c r="E108" s="13" t="str">
        <f t="shared" si="7"/>
        <v>May</v>
      </c>
      <c r="F108" s="19"/>
      <c r="G108" s="19">
        <v>45581</v>
      </c>
      <c r="H108" s="20">
        <f t="shared" si="8"/>
        <v>157</v>
      </c>
      <c r="I108" s="21">
        <v>503134</v>
      </c>
      <c r="J108" s="21">
        <f t="shared" si="9"/>
        <v>216416.54246575342</v>
      </c>
      <c r="K108" s="21">
        <f t="shared" si="2"/>
        <v>10820.827123287672</v>
      </c>
      <c r="L108" s="21">
        <v>10000</v>
      </c>
      <c r="M108" s="21">
        <f t="shared" si="3"/>
        <v>237237.3695890411</v>
      </c>
      <c r="N108" s="16"/>
      <c r="O108" s="15"/>
    </row>
    <row r="109" spans="1:15" ht="15.75" customHeight="1">
      <c r="A109" s="18" t="s">
        <v>258</v>
      </c>
      <c r="B109" s="18" t="s">
        <v>22</v>
      </c>
      <c r="C109" s="18" t="s">
        <v>262</v>
      </c>
      <c r="D109" s="43">
        <v>45425</v>
      </c>
      <c r="E109" s="13" t="str">
        <f t="shared" si="7"/>
        <v>May</v>
      </c>
      <c r="F109" s="19"/>
      <c r="G109" s="19">
        <v>45581</v>
      </c>
      <c r="H109" s="20">
        <f t="shared" si="8"/>
        <v>157</v>
      </c>
      <c r="I109" s="21">
        <v>1381854</v>
      </c>
      <c r="J109" s="21">
        <f t="shared" si="9"/>
        <v>594386.5150684932</v>
      </c>
      <c r="K109" s="21">
        <f t="shared" si="2"/>
        <v>29719.325753424662</v>
      </c>
      <c r="L109" s="21">
        <v>40000</v>
      </c>
      <c r="M109" s="21">
        <f t="shared" si="3"/>
        <v>664105.84082191787</v>
      </c>
      <c r="N109" s="16"/>
      <c r="O109" s="15"/>
    </row>
    <row r="110" spans="1:15" ht="15.75" customHeight="1">
      <c r="A110" s="6" t="s">
        <v>142</v>
      </c>
      <c r="B110" s="6" t="s">
        <v>26</v>
      </c>
      <c r="C110" s="6" t="s">
        <v>263</v>
      </c>
      <c r="D110" s="42">
        <v>45446</v>
      </c>
      <c r="E110" s="13" t="str">
        <f t="shared" si="7"/>
        <v>June</v>
      </c>
      <c r="F110" s="13"/>
      <c r="G110" s="13">
        <v>45510</v>
      </c>
      <c r="H110" s="14">
        <f t="shared" si="8"/>
        <v>65</v>
      </c>
      <c r="I110" s="7">
        <v>891649</v>
      </c>
      <c r="J110" s="7">
        <f t="shared" si="9"/>
        <v>158786.80821917808</v>
      </c>
      <c r="K110" s="7">
        <f t="shared" si="2"/>
        <v>7939.3404109589046</v>
      </c>
      <c r="L110" s="7">
        <v>30000</v>
      </c>
      <c r="M110" s="7">
        <f t="shared" si="3"/>
        <v>196726.148630137</v>
      </c>
      <c r="N110" s="16"/>
      <c r="O110" s="15"/>
    </row>
    <row r="111" spans="1:15" ht="15.75" customHeight="1">
      <c r="A111" s="6" t="s">
        <v>64</v>
      </c>
      <c r="B111" s="6" t="s">
        <v>26</v>
      </c>
      <c r="C111" s="6" t="s">
        <v>264</v>
      </c>
      <c r="D111" s="42">
        <v>45464</v>
      </c>
      <c r="E111" s="13" t="str">
        <f t="shared" si="7"/>
        <v>June</v>
      </c>
      <c r="F111" s="22"/>
      <c r="G111" s="13">
        <v>45774</v>
      </c>
      <c r="H111" s="14">
        <f t="shared" si="8"/>
        <v>311</v>
      </c>
      <c r="I111" s="7">
        <v>198573</v>
      </c>
      <c r="J111" s="7">
        <f t="shared" si="9"/>
        <v>169195.07671232877</v>
      </c>
      <c r="K111" s="7">
        <f t="shared" si="2"/>
        <v>8459.7538356164387</v>
      </c>
      <c r="L111" s="7">
        <v>5000</v>
      </c>
      <c r="M111" s="7">
        <f t="shared" si="3"/>
        <v>182654.8305479452</v>
      </c>
      <c r="N111" s="16"/>
      <c r="O111" s="15"/>
    </row>
    <row r="112" spans="1:15" ht="15.75" customHeight="1">
      <c r="A112" s="6" t="s">
        <v>64</v>
      </c>
      <c r="B112" s="6" t="s">
        <v>26</v>
      </c>
      <c r="C112" s="6" t="s">
        <v>265</v>
      </c>
      <c r="D112" s="42">
        <v>45464</v>
      </c>
      <c r="E112" s="13" t="str">
        <f t="shared" si="7"/>
        <v>June</v>
      </c>
      <c r="F112" s="22"/>
      <c r="G112" s="13">
        <v>45774</v>
      </c>
      <c r="H112" s="14">
        <f t="shared" si="8"/>
        <v>311</v>
      </c>
      <c r="I112" s="7">
        <v>137219</v>
      </c>
      <c r="J112" s="7">
        <f t="shared" si="9"/>
        <v>116918.10684931507</v>
      </c>
      <c r="K112" s="7">
        <f t="shared" si="2"/>
        <v>5845.9053424657541</v>
      </c>
      <c r="L112" s="7">
        <v>5000</v>
      </c>
      <c r="M112" s="7">
        <f t="shared" si="3"/>
        <v>127764.01219178081</v>
      </c>
      <c r="N112" s="16"/>
      <c r="O112" s="15"/>
    </row>
    <row r="113" spans="1:15" ht="15.75" customHeight="1">
      <c r="A113" s="6" t="s">
        <v>64</v>
      </c>
      <c r="B113" s="6" t="s">
        <v>26</v>
      </c>
      <c r="C113" s="6" t="s">
        <v>266</v>
      </c>
      <c r="D113" s="42">
        <v>45464</v>
      </c>
      <c r="E113" s="13" t="str">
        <f t="shared" si="7"/>
        <v>June</v>
      </c>
      <c r="F113" s="22"/>
      <c r="G113" s="13">
        <v>45774</v>
      </c>
      <c r="H113" s="14">
        <f t="shared" si="8"/>
        <v>311</v>
      </c>
      <c r="I113" s="7">
        <v>186304</v>
      </c>
      <c r="J113" s="7">
        <f t="shared" si="9"/>
        <v>158741.21643835618</v>
      </c>
      <c r="K113" s="7">
        <f t="shared" si="2"/>
        <v>7937.0608219178093</v>
      </c>
      <c r="L113" s="7">
        <v>5000</v>
      </c>
      <c r="M113" s="7">
        <f t="shared" si="3"/>
        <v>171678.27726027399</v>
      </c>
      <c r="N113" s="16"/>
      <c r="O113" s="15"/>
    </row>
    <row r="114" spans="1:15" ht="15.75" customHeight="1">
      <c r="A114" s="6" t="s">
        <v>267</v>
      </c>
      <c r="B114" s="6" t="s">
        <v>22</v>
      </c>
      <c r="C114" s="6" t="s">
        <v>246</v>
      </c>
      <c r="D114" s="42">
        <v>45446</v>
      </c>
      <c r="E114" s="13" t="str">
        <f t="shared" si="7"/>
        <v>June</v>
      </c>
      <c r="F114" s="13"/>
      <c r="G114" s="13">
        <v>45701</v>
      </c>
      <c r="H114" s="14">
        <f t="shared" si="8"/>
        <v>256</v>
      </c>
      <c r="I114" s="7">
        <v>506911</v>
      </c>
      <c r="J114" s="7">
        <f t="shared" si="9"/>
        <v>355532.09863013698</v>
      </c>
      <c r="K114" s="7">
        <f t="shared" si="2"/>
        <v>17776.604931506849</v>
      </c>
      <c r="L114" s="7">
        <v>5000</v>
      </c>
      <c r="M114" s="7">
        <f t="shared" si="3"/>
        <v>378308.70356164384</v>
      </c>
      <c r="N114" s="16"/>
      <c r="O114" s="15"/>
    </row>
    <row r="115" spans="1:15" ht="15.75" customHeight="1">
      <c r="A115" s="6" t="s">
        <v>267</v>
      </c>
      <c r="B115" s="6" t="s">
        <v>22</v>
      </c>
      <c r="C115" s="6" t="s">
        <v>247</v>
      </c>
      <c r="D115" s="42">
        <v>45446</v>
      </c>
      <c r="E115" s="13" t="str">
        <f t="shared" si="7"/>
        <v>June</v>
      </c>
      <c r="F115" s="13"/>
      <c r="G115" s="13">
        <v>45701</v>
      </c>
      <c r="H115" s="14">
        <f t="shared" si="8"/>
        <v>256</v>
      </c>
      <c r="I115" s="7">
        <v>1509102</v>
      </c>
      <c r="J115" s="7">
        <f t="shared" si="9"/>
        <v>1058438.6630136985</v>
      </c>
      <c r="K115" s="7">
        <f t="shared" si="2"/>
        <v>52921.933150684927</v>
      </c>
      <c r="L115" s="7">
        <v>25000</v>
      </c>
      <c r="M115" s="7">
        <f t="shared" si="3"/>
        <v>1136360.5961643835</v>
      </c>
      <c r="N115" s="16"/>
      <c r="O115" s="15"/>
    </row>
    <row r="116" spans="1:15" ht="15.75" customHeight="1">
      <c r="A116" s="6" t="s">
        <v>267</v>
      </c>
      <c r="B116" s="6" t="s">
        <v>22</v>
      </c>
      <c r="C116" s="6" t="s">
        <v>248</v>
      </c>
      <c r="D116" s="42">
        <v>45446</v>
      </c>
      <c r="E116" s="13" t="str">
        <f t="shared" si="7"/>
        <v>June</v>
      </c>
      <c r="F116" s="13"/>
      <c r="G116" s="13">
        <v>45701</v>
      </c>
      <c r="H116" s="14">
        <f t="shared" si="8"/>
        <v>256</v>
      </c>
      <c r="I116" s="7">
        <v>506911</v>
      </c>
      <c r="J116" s="7">
        <f t="shared" si="9"/>
        <v>355532.09863013698</v>
      </c>
      <c r="K116" s="7">
        <f t="shared" si="2"/>
        <v>17776.604931506849</v>
      </c>
      <c r="L116" s="7">
        <v>5000</v>
      </c>
      <c r="M116" s="7">
        <f t="shared" si="3"/>
        <v>378308.70356164384</v>
      </c>
      <c r="N116" s="16"/>
      <c r="O116" s="15"/>
    </row>
    <row r="117" spans="1:15" ht="15.75" customHeight="1">
      <c r="A117" s="6" t="s">
        <v>267</v>
      </c>
      <c r="B117" s="6" t="s">
        <v>22</v>
      </c>
      <c r="C117" s="6" t="s">
        <v>249</v>
      </c>
      <c r="D117" s="42">
        <v>45446</v>
      </c>
      <c r="E117" s="13" t="str">
        <f t="shared" si="7"/>
        <v>June</v>
      </c>
      <c r="F117" s="13"/>
      <c r="G117" s="13">
        <v>45701</v>
      </c>
      <c r="H117" s="14">
        <f t="shared" si="8"/>
        <v>256</v>
      </c>
      <c r="I117" s="7">
        <v>506911</v>
      </c>
      <c r="J117" s="7">
        <f t="shared" si="9"/>
        <v>355532.09863013698</v>
      </c>
      <c r="K117" s="7">
        <f t="shared" si="2"/>
        <v>17776.604931506849</v>
      </c>
      <c r="L117" s="7">
        <v>5000</v>
      </c>
      <c r="M117" s="7">
        <f t="shared" si="3"/>
        <v>378308.70356164384</v>
      </c>
      <c r="N117" s="16"/>
      <c r="O117" s="15"/>
    </row>
    <row r="118" spans="1:15" ht="15.75" customHeight="1">
      <c r="A118" s="6" t="s">
        <v>169</v>
      </c>
      <c r="B118" s="6" t="s">
        <v>22</v>
      </c>
      <c r="C118" s="6" t="s">
        <v>268</v>
      </c>
      <c r="D118" s="44" t="s">
        <v>269</v>
      </c>
      <c r="E118" s="13" t="str">
        <f t="shared" si="7"/>
        <v>23/05/2024</v>
      </c>
      <c r="F118" s="23"/>
      <c r="G118" s="13">
        <v>45422</v>
      </c>
      <c r="H118" s="14">
        <v>136</v>
      </c>
      <c r="I118" s="7">
        <v>377700</v>
      </c>
      <c r="J118" s="7">
        <v>140732</v>
      </c>
      <c r="K118" s="7">
        <v>7037</v>
      </c>
      <c r="L118" s="7">
        <v>3000</v>
      </c>
      <c r="M118" s="7">
        <v>150769</v>
      </c>
      <c r="N118" s="16"/>
      <c r="O118" s="15"/>
    </row>
    <row r="119" spans="1:15" ht="15.75" customHeight="1">
      <c r="A119" s="6" t="s">
        <v>169</v>
      </c>
      <c r="B119" s="6" t="s">
        <v>22</v>
      </c>
      <c r="C119" s="11" t="s">
        <v>270</v>
      </c>
      <c r="D119" s="45" t="s">
        <v>269</v>
      </c>
      <c r="E119" s="13" t="str">
        <f t="shared" si="7"/>
        <v>23/05/2024</v>
      </c>
      <c r="F119" s="41"/>
      <c r="G119" s="24">
        <v>45422</v>
      </c>
      <c r="H119" s="25">
        <v>136</v>
      </c>
      <c r="I119" s="26">
        <v>377700</v>
      </c>
      <c r="J119" s="27">
        <v>140732</v>
      </c>
      <c r="K119" s="12">
        <v>7037</v>
      </c>
      <c r="L119" s="12">
        <v>3000</v>
      </c>
      <c r="M119" s="12">
        <v>150769</v>
      </c>
      <c r="N119" s="16"/>
      <c r="O119" s="15"/>
    </row>
    <row r="120" spans="1:15" ht="15.75" customHeight="1">
      <c r="A120" s="6" t="s">
        <v>169</v>
      </c>
      <c r="B120" s="6" t="s">
        <v>22</v>
      </c>
      <c r="C120" s="11" t="s">
        <v>271</v>
      </c>
      <c r="D120" s="45" t="s">
        <v>269</v>
      </c>
      <c r="E120" s="13" t="str">
        <f t="shared" si="7"/>
        <v>23/05/2024</v>
      </c>
      <c r="F120" s="41"/>
      <c r="G120" s="24">
        <v>45422</v>
      </c>
      <c r="H120" s="25">
        <v>136</v>
      </c>
      <c r="I120" s="26">
        <v>377700</v>
      </c>
      <c r="J120" s="27">
        <v>140732</v>
      </c>
      <c r="K120" s="12">
        <v>7037</v>
      </c>
      <c r="L120" s="12">
        <v>3000</v>
      </c>
      <c r="M120" s="12">
        <v>150769</v>
      </c>
      <c r="N120" s="16"/>
      <c r="O120" s="15"/>
    </row>
    <row r="121" spans="1:15" ht="15.75" customHeight="1">
      <c r="A121" s="6" t="s">
        <v>169</v>
      </c>
      <c r="B121" s="6" t="s">
        <v>22</v>
      </c>
      <c r="C121" s="11" t="s">
        <v>272</v>
      </c>
      <c r="D121" s="45" t="s">
        <v>269</v>
      </c>
      <c r="E121" s="13" t="str">
        <f t="shared" si="7"/>
        <v>23/05/2024</v>
      </c>
      <c r="F121" s="41"/>
      <c r="G121" s="24">
        <v>45422</v>
      </c>
      <c r="H121" s="25">
        <v>136</v>
      </c>
      <c r="I121" s="26">
        <v>377700</v>
      </c>
      <c r="J121" s="27">
        <v>140732</v>
      </c>
      <c r="K121" s="12">
        <v>7037</v>
      </c>
      <c r="L121" s="12">
        <v>3000</v>
      </c>
      <c r="M121" s="12">
        <v>150769</v>
      </c>
      <c r="N121" s="16"/>
      <c r="O121" s="15"/>
    </row>
    <row r="122" spans="1:15" ht="15.75" customHeight="1">
      <c r="A122" s="6" t="s">
        <v>169</v>
      </c>
      <c r="B122" s="6" t="s">
        <v>22</v>
      </c>
      <c r="C122" s="11" t="s">
        <v>273</v>
      </c>
      <c r="D122" s="45" t="s">
        <v>274</v>
      </c>
      <c r="E122" s="13" t="str">
        <f t="shared" si="7"/>
        <v>28/05/2024</v>
      </c>
      <c r="F122" s="41"/>
      <c r="G122" s="24">
        <v>45422</v>
      </c>
      <c r="H122" s="25">
        <v>131</v>
      </c>
      <c r="I122" s="26">
        <v>377700</v>
      </c>
      <c r="J122" s="27">
        <v>135558</v>
      </c>
      <c r="K122" s="12">
        <v>6778</v>
      </c>
      <c r="L122" s="12">
        <v>3000</v>
      </c>
      <c r="M122" s="12">
        <v>145336</v>
      </c>
      <c r="N122" s="16"/>
      <c r="O122" s="15"/>
    </row>
    <row r="123" spans="1:15" ht="15.75" customHeight="1">
      <c r="A123" s="6" t="s">
        <v>169</v>
      </c>
      <c r="B123" s="6" t="s">
        <v>22</v>
      </c>
      <c r="C123" s="11" t="s">
        <v>275</v>
      </c>
      <c r="D123" s="45" t="s">
        <v>276</v>
      </c>
      <c r="E123" s="13" t="str">
        <f t="shared" si="7"/>
        <v>29/05/2024</v>
      </c>
      <c r="F123" s="41"/>
      <c r="G123" s="24">
        <v>45422</v>
      </c>
      <c r="H123" s="25">
        <v>130</v>
      </c>
      <c r="I123" s="26">
        <v>377700</v>
      </c>
      <c r="J123" s="27">
        <v>134523</v>
      </c>
      <c r="K123" s="12">
        <v>6726</v>
      </c>
      <c r="L123" s="12">
        <v>3000</v>
      </c>
      <c r="M123" s="12">
        <v>144249</v>
      </c>
      <c r="N123" s="16"/>
      <c r="O123" s="15"/>
    </row>
    <row r="124" spans="1:15" ht="15.75" customHeight="1">
      <c r="A124" s="6" t="s">
        <v>169</v>
      </c>
      <c r="B124" s="6" t="s">
        <v>22</v>
      </c>
      <c r="C124" s="11" t="s">
        <v>277</v>
      </c>
      <c r="D124" s="45">
        <v>45388</v>
      </c>
      <c r="E124" s="13" t="str">
        <f t="shared" si="7"/>
        <v>April</v>
      </c>
      <c r="F124" s="24"/>
      <c r="G124" s="24">
        <v>45422</v>
      </c>
      <c r="H124" s="25">
        <v>124</v>
      </c>
      <c r="I124" s="26">
        <v>377700</v>
      </c>
      <c r="J124" s="27">
        <v>128315</v>
      </c>
      <c r="K124" s="12">
        <v>6416</v>
      </c>
      <c r="L124" s="12">
        <v>3000</v>
      </c>
      <c r="M124" s="12">
        <v>137730</v>
      </c>
      <c r="N124" s="16"/>
      <c r="O124" s="15"/>
    </row>
    <row r="125" spans="1:15" ht="15.75" customHeight="1">
      <c r="A125" s="6" t="s">
        <v>169</v>
      </c>
      <c r="B125" s="6" t="s">
        <v>22</v>
      </c>
      <c r="C125" s="11" t="s">
        <v>278</v>
      </c>
      <c r="D125" s="45">
        <v>45388</v>
      </c>
      <c r="E125" s="13" t="str">
        <f t="shared" si="7"/>
        <v>April</v>
      </c>
      <c r="F125" s="24"/>
      <c r="G125" s="24">
        <v>45422</v>
      </c>
      <c r="H125" s="25">
        <v>124</v>
      </c>
      <c r="I125" s="26">
        <v>377700</v>
      </c>
      <c r="J125" s="27">
        <v>128315</v>
      </c>
      <c r="K125" s="12">
        <v>6416</v>
      </c>
      <c r="L125" s="12">
        <v>3000</v>
      </c>
      <c r="M125" s="12">
        <v>137730</v>
      </c>
      <c r="N125" s="16"/>
      <c r="O125" s="15"/>
    </row>
    <row r="126" spans="1:15" ht="15.75" customHeight="1">
      <c r="A126" s="6" t="s">
        <v>169</v>
      </c>
      <c r="B126" s="6" t="s">
        <v>22</v>
      </c>
      <c r="C126" s="11" t="s">
        <v>279</v>
      </c>
      <c r="D126" s="45">
        <v>45418</v>
      </c>
      <c r="E126" s="13" t="str">
        <f t="shared" si="7"/>
        <v>May</v>
      </c>
      <c r="F126" s="24"/>
      <c r="G126" s="24">
        <v>45422</v>
      </c>
      <c r="H126" s="25">
        <v>123</v>
      </c>
      <c r="I126" s="26">
        <v>377700</v>
      </c>
      <c r="J126" s="27">
        <v>127280</v>
      </c>
      <c r="K126" s="12">
        <v>6364</v>
      </c>
      <c r="L126" s="12">
        <v>3000</v>
      </c>
      <c r="M126" s="12">
        <v>136644</v>
      </c>
      <c r="N126" s="16"/>
      <c r="O126" s="15"/>
    </row>
    <row r="127" spans="1:15" ht="15.75" customHeight="1">
      <c r="A127" s="6" t="s">
        <v>169</v>
      </c>
      <c r="B127" s="6" t="s">
        <v>22</v>
      </c>
      <c r="C127" s="11" t="s">
        <v>280</v>
      </c>
      <c r="D127" s="45">
        <v>45418</v>
      </c>
      <c r="E127" s="13" t="str">
        <f t="shared" si="7"/>
        <v>May</v>
      </c>
      <c r="F127" s="24"/>
      <c r="G127" s="24">
        <v>45422</v>
      </c>
      <c r="H127" s="25">
        <v>123</v>
      </c>
      <c r="I127" s="26">
        <v>377700</v>
      </c>
      <c r="J127" s="27">
        <v>127280</v>
      </c>
      <c r="K127" s="12">
        <v>6364</v>
      </c>
      <c r="L127" s="12">
        <v>3000</v>
      </c>
      <c r="M127" s="12">
        <v>136644</v>
      </c>
      <c r="N127" s="16"/>
      <c r="O127" s="15"/>
    </row>
    <row r="128" spans="1:15" ht="15.75" customHeight="1">
      <c r="A128" s="6" t="s">
        <v>169</v>
      </c>
      <c r="B128" s="6" t="s">
        <v>22</v>
      </c>
      <c r="C128" s="11" t="s">
        <v>281</v>
      </c>
      <c r="D128" s="45">
        <v>45418</v>
      </c>
      <c r="E128" s="13" t="str">
        <f t="shared" si="7"/>
        <v>May</v>
      </c>
      <c r="F128" s="24"/>
      <c r="G128" s="24">
        <v>45422</v>
      </c>
      <c r="H128" s="25">
        <v>123</v>
      </c>
      <c r="I128" s="26">
        <v>377700</v>
      </c>
      <c r="J128" s="27">
        <v>127280</v>
      </c>
      <c r="K128" s="12">
        <v>6364</v>
      </c>
      <c r="L128" s="12">
        <v>3000</v>
      </c>
      <c r="M128" s="12">
        <v>136644</v>
      </c>
      <c r="N128" s="16"/>
      <c r="O128" s="15"/>
    </row>
    <row r="129" spans="1:15" ht="15.75" customHeight="1">
      <c r="A129" s="6" t="s">
        <v>169</v>
      </c>
      <c r="B129" s="6" t="s">
        <v>22</v>
      </c>
      <c r="C129" s="11" t="s">
        <v>282</v>
      </c>
      <c r="D129" s="45">
        <v>45418</v>
      </c>
      <c r="E129" s="13" t="str">
        <f t="shared" si="7"/>
        <v>May</v>
      </c>
      <c r="F129" s="24"/>
      <c r="G129" s="24">
        <v>45422</v>
      </c>
      <c r="H129" s="25">
        <v>123</v>
      </c>
      <c r="I129" s="26">
        <v>377700</v>
      </c>
      <c r="J129" s="27">
        <v>127280</v>
      </c>
      <c r="K129" s="12">
        <v>6364</v>
      </c>
      <c r="L129" s="12">
        <v>3000</v>
      </c>
      <c r="M129" s="12">
        <v>136644</v>
      </c>
      <c r="N129" s="16"/>
      <c r="O129" s="15"/>
    </row>
    <row r="130" spans="1:15" ht="15.75" customHeight="1">
      <c r="A130" s="6" t="s">
        <v>169</v>
      </c>
      <c r="B130" s="6" t="s">
        <v>22</v>
      </c>
      <c r="C130" s="11" t="s">
        <v>283</v>
      </c>
      <c r="D130" s="45">
        <v>45418</v>
      </c>
      <c r="E130" s="13" t="str">
        <f t="shared" si="7"/>
        <v>May</v>
      </c>
      <c r="F130" s="24"/>
      <c r="G130" s="24">
        <v>45422</v>
      </c>
      <c r="H130" s="25">
        <v>123</v>
      </c>
      <c r="I130" s="26">
        <v>377700</v>
      </c>
      <c r="J130" s="27">
        <v>127280</v>
      </c>
      <c r="K130" s="12">
        <v>6364</v>
      </c>
      <c r="L130" s="12">
        <v>3000</v>
      </c>
      <c r="M130" s="12">
        <v>136644</v>
      </c>
      <c r="N130" s="16"/>
      <c r="O130" s="15"/>
    </row>
    <row r="131" spans="1:15" ht="15.75" customHeight="1">
      <c r="A131" s="6" t="s">
        <v>169</v>
      </c>
      <c r="B131" s="6" t="s">
        <v>22</v>
      </c>
      <c r="C131" s="11" t="s">
        <v>284</v>
      </c>
      <c r="D131" s="45">
        <v>45418</v>
      </c>
      <c r="E131" s="13" t="str">
        <f t="shared" ref="E131:E194" si="10">TEXT(D131, "mmmm")</f>
        <v>May</v>
      </c>
      <c r="F131" s="24"/>
      <c r="G131" s="24">
        <v>45422</v>
      </c>
      <c r="H131" s="25">
        <v>123</v>
      </c>
      <c r="I131" s="26">
        <v>377700</v>
      </c>
      <c r="J131" s="27">
        <v>127280</v>
      </c>
      <c r="K131" s="12">
        <v>6364</v>
      </c>
      <c r="L131" s="12">
        <v>3000</v>
      </c>
      <c r="M131" s="12">
        <v>136644</v>
      </c>
      <c r="N131" s="16"/>
      <c r="O131" s="15"/>
    </row>
    <row r="132" spans="1:15" ht="15.75" customHeight="1">
      <c r="A132" s="6" t="s">
        <v>169</v>
      </c>
      <c r="B132" s="6" t="s">
        <v>22</v>
      </c>
      <c r="C132" s="11" t="s">
        <v>285</v>
      </c>
      <c r="D132" s="45">
        <v>45479</v>
      </c>
      <c r="E132" s="13" t="str">
        <f t="shared" si="10"/>
        <v>July</v>
      </c>
      <c r="F132" s="24"/>
      <c r="G132" s="24">
        <v>45422</v>
      </c>
      <c r="H132" s="25">
        <v>121</v>
      </c>
      <c r="I132" s="26">
        <v>377700</v>
      </c>
      <c r="J132" s="27">
        <v>125210</v>
      </c>
      <c r="K132" s="12">
        <v>6261</v>
      </c>
      <c r="L132" s="12">
        <v>3000</v>
      </c>
      <c r="M132" s="12">
        <v>134471</v>
      </c>
      <c r="N132" s="16"/>
      <c r="O132" s="15"/>
    </row>
    <row r="133" spans="1:15" ht="15.75" customHeight="1">
      <c r="A133" s="6" t="s">
        <v>169</v>
      </c>
      <c r="B133" s="6" t="s">
        <v>22</v>
      </c>
      <c r="C133" s="11" t="s">
        <v>286</v>
      </c>
      <c r="D133" s="45">
        <v>45479</v>
      </c>
      <c r="E133" s="13" t="str">
        <f t="shared" si="10"/>
        <v>July</v>
      </c>
      <c r="F133" s="24"/>
      <c r="G133" s="24">
        <v>45422</v>
      </c>
      <c r="H133" s="25">
        <v>121</v>
      </c>
      <c r="I133" s="26">
        <v>377700</v>
      </c>
      <c r="J133" s="27">
        <v>125210</v>
      </c>
      <c r="K133" s="12">
        <v>6261</v>
      </c>
      <c r="L133" s="12">
        <v>3000</v>
      </c>
      <c r="M133" s="12">
        <v>134471</v>
      </c>
      <c r="N133" s="16"/>
      <c r="O133" s="15"/>
    </row>
    <row r="134" spans="1:15" ht="15.75" customHeight="1">
      <c r="A134" s="6" t="s">
        <v>169</v>
      </c>
      <c r="B134" s="6" t="s">
        <v>22</v>
      </c>
      <c r="C134" s="11" t="s">
        <v>287</v>
      </c>
      <c r="D134" s="45">
        <v>45571</v>
      </c>
      <c r="E134" s="13" t="str">
        <f t="shared" si="10"/>
        <v>October</v>
      </c>
      <c r="F134" s="24"/>
      <c r="G134" s="24">
        <v>45422</v>
      </c>
      <c r="H134" s="25">
        <v>118</v>
      </c>
      <c r="I134" s="26">
        <v>377700</v>
      </c>
      <c r="J134" s="27">
        <v>122106</v>
      </c>
      <c r="K134" s="12">
        <v>6105</v>
      </c>
      <c r="L134" s="12">
        <v>3000</v>
      </c>
      <c r="M134" s="12">
        <v>131211</v>
      </c>
      <c r="N134" s="16"/>
      <c r="O134" s="15"/>
    </row>
    <row r="135" spans="1:15" ht="15.75" customHeight="1">
      <c r="A135" s="6" t="s">
        <v>169</v>
      </c>
      <c r="B135" s="6" t="s">
        <v>22</v>
      </c>
      <c r="C135" s="11" t="s">
        <v>288</v>
      </c>
      <c r="D135" s="45">
        <v>45571</v>
      </c>
      <c r="E135" s="13" t="str">
        <f t="shared" si="10"/>
        <v>October</v>
      </c>
      <c r="F135" s="24"/>
      <c r="G135" s="24">
        <v>45422</v>
      </c>
      <c r="H135" s="25">
        <v>118</v>
      </c>
      <c r="I135" s="26">
        <v>377700</v>
      </c>
      <c r="J135" s="27">
        <v>122106</v>
      </c>
      <c r="K135" s="12">
        <v>6105</v>
      </c>
      <c r="L135" s="12">
        <v>3000</v>
      </c>
      <c r="M135" s="12">
        <v>131211</v>
      </c>
      <c r="N135" s="16"/>
      <c r="O135" s="15"/>
    </row>
    <row r="136" spans="1:15" ht="15.75" customHeight="1">
      <c r="A136" s="6" t="s">
        <v>169</v>
      </c>
      <c r="B136" s="6" t="s">
        <v>22</v>
      </c>
      <c r="C136" s="11" t="s">
        <v>289</v>
      </c>
      <c r="D136" s="45">
        <v>45571</v>
      </c>
      <c r="E136" s="13" t="str">
        <f t="shared" si="10"/>
        <v>October</v>
      </c>
      <c r="F136" s="24"/>
      <c r="G136" s="24">
        <v>45422</v>
      </c>
      <c r="H136" s="25">
        <v>118</v>
      </c>
      <c r="I136" s="26">
        <v>377700</v>
      </c>
      <c r="J136" s="27">
        <v>122106</v>
      </c>
      <c r="K136" s="12">
        <v>6105</v>
      </c>
      <c r="L136" s="12">
        <v>3000</v>
      </c>
      <c r="M136" s="12">
        <v>131211</v>
      </c>
      <c r="N136" s="16"/>
      <c r="O136" s="15"/>
    </row>
    <row r="137" spans="1:15" ht="15.75" customHeight="1">
      <c r="A137" s="6" t="s">
        <v>169</v>
      </c>
      <c r="B137" s="6" t="s">
        <v>22</v>
      </c>
      <c r="C137" s="11" t="s">
        <v>290</v>
      </c>
      <c r="D137" s="45" t="s">
        <v>291</v>
      </c>
      <c r="E137" s="13" t="str">
        <f t="shared" si="10"/>
        <v>19/06/2024</v>
      </c>
      <c r="F137" s="41"/>
      <c r="G137" s="24">
        <v>45422</v>
      </c>
      <c r="H137" s="25">
        <v>109</v>
      </c>
      <c r="I137" s="26">
        <v>377700</v>
      </c>
      <c r="J137" s="27">
        <v>112793</v>
      </c>
      <c r="K137" s="12">
        <v>5640</v>
      </c>
      <c r="L137" s="12">
        <v>3000</v>
      </c>
      <c r="M137" s="12">
        <v>121432</v>
      </c>
      <c r="N137" s="16"/>
      <c r="O137" s="15"/>
    </row>
    <row r="138" spans="1:15" ht="15.75" customHeight="1">
      <c r="A138" s="6" t="s">
        <v>169</v>
      </c>
      <c r="B138" s="6" t="s">
        <v>22</v>
      </c>
      <c r="C138" s="11" t="s">
        <v>292</v>
      </c>
      <c r="D138" s="45" t="s">
        <v>291</v>
      </c>
      <c r="E138" s="13" t="str">
        <f t="shared" si="10"/>
        <v>19/06/2024</v>
      </c>
      <c r="F138" s="41"/>
      <c r="G138" s="24">
        <v>45422</v>
      </c>
      <c r="H138" s="25">
        <v>109</v>
      </c>
      <c r="I138" s="26">
        <v>377700</v>
      </c>
      <c r="J138" s="27">
        <v>112793</v>
      </c>
      <c r="K138" s="12">
        <v>5640</v>
      </c>
      <c r="L138" s="12">
        <v>3000</v>
      </c>
      <c r="M138" s="12">
        <v>121432</v>
      </c>
      <c r="N138" s="16"/>
      <c r="O138" s="15"/>
    </row>
    <row r="139" spans="1:15" ht="15.75" customHeight="1">
      <c r="A139" s="6" t="s">
        <v>169</v>
      </c>
      <c r="B139" s="6" t="s">
        <v>22</v>
      </c>
      <c r="C139" s="11" t="s">
        <v>293</v>
      </c>
      <c r="D139" s="45" t="s">
        <v>291</v>
      </c>
      <c r="E139" s="13" t="str">
        <f t="shared" si="10"/>
        <v>19/06/2024</v>
      </c>
      <c r="F139" s="41"/>
      <c r="G139" s="24">
        <v>45422</v>
      </c>
      <c r="H139" s="25">
        <v>109</v>
      </c>
      <c r="I139" s="26">
        <v>377700</v>
      </c>
      <c r="J139" s="27">
        <v>112793</v>
      </c>
      <c r="K139" s="12">
        <v>5640</v>
      </c>
      <c r="L139" s="12">
        <v>3000</v>
      </c>
      <c r="M139" s="12">
        <v>121432</v>
      </c>
      <c r="N139" s="16"/>
      <c r="O139" s="15"/>
    </row>
    <row r="140" spans="1:15" ht="15.75" customHeight="1">
      <c r="A140" s="6" t="s">
        <v>169</v>
      </c>
      <c r="B140" s="6" t="s">
        <v>22</v>
      </c>
      <c r="C140" s="11" t="s">
        <v>294</v>
      </c>
      <c r="D140" s="45" t="s">
        <v>291</v>
      </c>
      <c r="E140" s="13" t="str">
        <f t="shared" si="10"/>
        <v>19/06/2024</v>
      </c>
      <c r="F140" s="41"/>
      <c r="G140" s="24">
        <v>45422</v>
      </c>
      <c r="H140" s="25">
        <v>109</v>
      </c>
      <c r="I140" s="26">
        <v>377700</v>
      </c>
      <c r="J140" s="27">
        <v>112793</v>
      </c>
      <c r="K140" s="12">
        <v>5640</v>
      </c>
      <c r="L140" s="12">
        <v>3000</v>
      </c>
      <c r="M140" s="12">
        <v>121432</v>
      </c>
      <c r="N140" s="16"/>
      <c r="O140" s="15"/>
    </row>
    <row r="141" spans="1:15" ht="15.75" customHeight="1">
      <c r="A141" s="6" t="s">
        <v>169</v>
      </c>
      <c r="B141" s="6" t="s">
        <v>22</v>
      </c>
      <c r="C141" s="11" t="s">
        <v>295</v>
      </c>
      <c r="D141" s="45" t="s">
        <v>291</v>
      </c>
      <c r="E141" s="13" t="str">
        <f t="shared" si="10"/>
        <v>19/06/2024</v>
      </c>
      <c r="F141" s="41"/>
      <c r="G141" s="24">
        <v>45422</v>
      </c>
      <c r="H141" s="25">
        <v>109</v>
      </c>
      <c r="I141" s="26">
        <v>377700</v>
      </c>
      <c r="J141" s="27">
        <v>112793</v>
      </c>
      <c r="K141" s="12">
        <v>5640</v>
      </c>
      <c r="L141" s="12">
        <v>3000</v>
      </c>
      <c r="M141" s="12">
        <v>121432</v>
      </c>
      <c r="N141" s="16"/>
      <c r="O141" s="15"/>
    </row>
    <row r="142" spans="1:15" ht="15.75" customHeight="1">
      <c r="A142" s="6" t="s">
        <v>169</v>
      </c>
      <c r="B142" s="6" t="s">
        <v>22</v>
      </c>
      <c r="C142" s="11" t="s">
        <v>296</v>
      </c>
      <c r="D142" s="45" t="s">
        <v>291</v>
      </c>
      <c r="E142" s="13" t="str">
        <f t="shared" si="10"/>
        <v>19/06/2024</v>
      </c>
      <c r="F142" s="41"/>
      <c r="G142" s="24">
        <v>45422</v>
      </c>
      <c r="H142" s="25">
        <v>109</v>
      </c>
      <c r="I142" s="26">
        <v>377700</v>
      </c>
      <c r="J142" s="27">
        <v>112793</v>
      </c>
      <c r="K142" s="12">
        <v>5640</v>
      </c>
      <c r="L142" s="12">
        <v>3000</v>
      </c>
      <c r="M142" s="12">
        <v>121432</v>
      </c>
      <c r="N142" s="16"/>
      <c r="O142" s="15"/>
    </row>
    <row r="143" spans="1:15" ht="15.75" customHeight="1">
      <c r="A143" s="6" t="s">
        <v>169</v>
      </c>
      <c r="B143" s="6" t="s">
        <v>22</v>
      </c>
      <c r="C143" s="11" t="s">
        <v>297</v>
      </c>
      <c r="D143" s="45" t="s">
        <v>291</v>
      </c>
      <c r="E143" s="13" t="str">
        <f t="shared" si="10"/>
        <v>19/06/2024</v>
      </c>
      <c r="F143" s="41"/>
      <c r="G143" s="24">
        <v>45422</v>
      </c>
      <c r="H143" s="25">
        <v>109</v>
      </c>
      <c r="I143" s="26">
        <v>377700</v>
      </c>
      <c r="J143" s="27">
        <v>112793</v>
      </c>
      <c r="K143" s="12">
        <v>5640</v>
      </c>
      <c r="L143" s="12">
        <v>6000</v>
      </c>
      <c r="M143" s="12">
        <v>124432</v>
      </c>
      <c r="N143" s="16"/>
      <c r="O143" s="15"/>
    </row>
    <row r="144" spans="1:15" ht="15.75" customHeight="1">
      <c r="A144" s="6" t="s">
        <v>169</v>
      </c>
      <c r="B144" s="6" t="s">
        <v>22</v>
      </c>
      <c r="C144" s="11" t="s">
        <v>298</v>
      </c>
      <c r="D144" s="45" t="s">
        <v>291</v>
      </c>
      <c r="E144" s="13" t="str">
        <f t="shared" si="10"/>
        <v>19/06/2024</v>
      </c>
      <c r="F144" s="41"/>
      <c r="G144" s="24">
        <v>45422</v>
      </c>
      <c r="H144" s="25">
        <v>109</v>
      </c>
      <c r="I144" s="26">
        <v>377700</v>
      </c>
      <c r="J144" s="27">
        <v>112793</v>
      </c>
      <c r="K144" s="12">
        <v>5640</v>
      </c>
      <c r="L144" s="12">
        <v>6000</v>
      </c>
      <c r="M144" s="12">
        <v>124432</v>
      </c>
      <c r="N144" s="16"/>
      <c r="O144" s="15"/>
    </row>
    <row r="145" spans="1:15" ht="15.75" customHeight="1">
      <c r="A145" s="6" t="s">
        <v>169</v>
      </c>
      <c r="B145" s="6" t="s">
        <v>22</v>
      </c>
      <c r="C145" s="11" t="s">
        <v>299</v>
      </c>
      <c r="D145" s="45" t="s">
        <v>291</v>
      </c>
      <c r="E145" s="13" t="str">
        <f t="shared" si="10"/>
        <v>19/06/2024</v>
      </c>
      <c r="F145" s="41"/>
      <c r="G145" s="24">
        <v>45422</v>
      </c>
      <c r="H145" s="25">
        <v>109</v>
      </c>
      <c r="I145" s="26">
        <v>377700</v>
      </c>
      <c r="J145" s="27">
        <v>112793</v>
      </c>
      <c r="K145" s="12">
        <v>5640</v>
      </c>
      <c r="L145" s="12">
        <v>3000</v>
      </c>
      <c r="M145" s="12">
        <v>121432</v>
      </c>
      <c r="N145" s="16"/>
      <c r="O145" s="15"/>
    </row>
    <row r="146" spans="1:15" ht="15.75" customHeight="1">
      <c r="A146" s="6" t="s">
        <v>169</v>
      </c>
      <c r="B146" s="6" t="s">
        <v>22</v>
      </c>
      <c r="C146" s="11" t="s">
        <v>300</v>
      </c>
      <c r="D146" s="45" t="s">
        <v>291</v>
      </c>
      <c r="E146" s="13" t="str">
        <f t="shared" si="10"/>
        <v>19/06/2024</v>
      </c>
      <c r="F146" s="41"/>
      <c r="G146" s="24">
        <v>45422</v>
      </c>
      <c r="H146" s="25">
        <v>109</v>
      </c>
      <c r="I146" s="26">
        <v>377700</v>
      </c>
      <c r="J146" s="27">
        <v>112793</v>
      </c>
      <c r="K146" s="12">
        <v>5640</v>
      </c>
      <c r="L146" s="12">
        <v>3000</v>
      </c>
      <c r="M146" s="12">
        <v>121432</v>
      </c>
      <c r="N146" s="16"/>
      <c r="O146" s="15"/>
    </row>
    <row r="147" spans="1:15" ht="15.75" customHeight="1">
      <c r="A147" s="6" t="s">
        <v>169</v>
      </c>
      <c r="B147" s="6" t="s">
        <v>22</v>
      </c>
      <c r="C147" s="11" t="s">
        <v>301</v>
      </c>
      <c r="D147" s="45" t="s">
        <v>291</v>
      </c>
      <c r="E147" s="13" t="str">
        <f t="shared" si="10"/>
        <v>19/06/2024</v>
      </c>
      <c r="F147" s="41"/>
      <c r="G147" s="24">
        <v>45422</v>
      </c>
      <c r="H147" s="25">
        <v>109</v>
      </c>
      <c r="I147" s="26">
        <v>377700</v>
      </c>
      <c r="J147" s="27">
        <v>112793</v>
      </c>
      <c r="K147" s="12">
        <v>5640</v>
      </c>
      <c r="L147" s="12">
        <v>3000</v>
      </c>
      <c r="M147" s="12">
        <v>121432</v>
      </c>
      <c r="N147" s="16"/>
      <c r="O147" s="15"/>
    </row>
    <row r="148" spans="1:15" ht="15.75" customHeight="1">
      <c r="A148" s="6" t="s">
        <v>169</v>
      </c>
      <c r="B148" s="6" t="s">
        <v>22</v>
      </c>
      <c r="C148" s="11" t="s">
        <v>302</v>
      </c>
      <c r="D148" s="45" t="s">
        <v>291</v>
      </c>
      <c r="E148" s="13" t="str">
        <f t="shared" si="10"/>
        <v>19/06/2024</v>
      </c>
      <c r="F148" s="41"/>
      <c r="G148" s="24">
        <v>45422</v>
      </c>
      <c r="H148" s="25">
        <v>109</v>
      </c>
      <c r="I148" s="26">
        <v>377700</v>
      </c>
      <c r="J148" s="27">
        <v>112793</v>
      </c>
      <c r="K148" s="12">
        <v>5640</v>
      </c>
      <c r="L148" s="12">
        <v>3000</v>
      </c>
      <c r="M148" s="12">
        <v>121432</v>
      </c>
      <c r="N148" s="16"/>
      <c r="O148" s="15"/>
    </row>
    <row r="149" spans="1:15" ht="15.75" customHeight="1">
      <c r="A149" s="6" t="s">
        <v>169</v>
      </c>
      <c r="B149" s="6" t="s">
        <v>22</v>
      </c>
      <c r="C149" s="11" t="s">
        <v>303</v>
      </c>
      <c r="D149" s="45" t="s">
        <v>291</v>
      </c>
      <c r="E149" s="13" t="str">
        <f t="shared" si="10"/>
        <v>19/06/2024</v>
      </c>
      <c r="F149" s="41"/>
      <c r="G149" s="24">
        <v>45422</v>
      </c>
      <c r="H149" s="25">
        <v>109</v>
      </c>
      <c r="I149" s="26">
        <v>377700</v>
      </c>
      <c r="J149" s="27">
        <v>112793</v>
      </c>
      <c r="K149" s="12">
        <v>5640</v>
      </c>
      <c r="L149" s="12">
        <v>3000</v>
      </c>
      <c r="M149" s="12">
        <v>121432</v>
      </c>
      <c r="N149" s="16"/>
      <c r="O149" s="15"/>
    </row>
    <row r="150" spans="1:15" ht="15.75" customHeight="1">
      <c r="A150" s="6" t="s">
        <v>169</v>
      </c>
      <c r="B150" s="6" t="s">
        <v>22</v>
      </c>
      <c r="C150" s="11" t="s">
        <v>304</v>
      </c>
      <c r="D150" s="45" t="s">
        <v>291</v>
      </c>
      <c r="E150" s="13" t="str">
        <f t="shared" si="10"/>
        <v>19/06/2024</v>
      </c>
      <c r="F150" s="41"/>
      <c r="G150" s="24">
        <v>45422</v>
      </c>
      <c r="H150" s="25">
        <v>109</v>
      </c>
      <c r="I150" s="26">
        <v>377700</v>
      </c>
      <c r="J150" s="27">
        <v>112793</v>
      </c>
      <c r="K150" s="12">
        <v>5640</v>
      </c>
      <c r="L150" s="12">
        <v>3000</v>
      </c>
      <c r="M150" s="12">
        <v>121432</v>
      </c>
      <c r="N150" s="16"/>
      <c r="O150" s="15"/>
    </row>
    <row r="151" spans="1:15" ht="15.75" customHeight="1">
      <c r="A151" s="6" t="s">
        <v>169</v>
      </c>
      <c r="B151" s="6" t="s">
        <v>22</v>
      </c>
      <c r="C151" s="11" t="s">
        <v>305</v>
      </c>
      <c r="D151" s="45" t="s">
        <v>291</v>
      </c>
      <c r="E151" s="13" t="str">
        <f t="shared" si="10"/>
        <v>19/06/2024</v>
      </c>
      <c r="F151" s="41"/>
      <c r="G151" s="24">
        <v>45422</v>
      </c>
      <c r="H151" s="25">
        <v>109</v>
      </c>
      <c r="I151" s="26">
        <v>377700</v>
      </c>
      <c r="J151" s="27">
        <v>112793</v>
      </c>
      <c r="K151" s="12">
        <v>5640</v>
      </c>
      <c r="L151" s="12">
        <v>3000</v>
      </c>
      <c r="M151" s="12">
        <v>121432</v>
      </c>
      <c r="N151" s="16"/>
      <c r="O151" s="15"/>
    </row>
    <row r="152" spans="1:15" ht="15.75" customHeight="1">
      <c r="A152" s="6" t="s">
        <v>169</v>
      </c>
      <c r="B152" s="6" t="s">
        <v>22</v>
      </c>
      <c r="C152" s="11" t="s">
        <v>306</v>
      </c>
      <c r="D152" s="45" t="s">
        <v>307</v>
      </c>
      <c r="E152" s="13" t="str">
        <f t="shared" si="10"/>
        <v>20/06/2024</v>
      </c>
      <c r="F152" s="41"/>
      <c r="G152" s="24">
        <v>45422</v>
      </c>
      <c r="H152" s="25">
        <v>108</v>
      </c>
      <c r="I152" s="26">
        <v>377700</v>
      </c>
      <c r="J152" s="27">
        <v>111758</v>
      </c>
      <c r="K152" s="12">
        <v>5588</v>
      </c>
      <c r="L152" s="12">
        <v>3000</v>
      </c>
      <c r="M152" s="12">
        <v>120346</v>
      </c>
      <c r="N152" s="16"/>
      <c r="O152" s="15"/>
    </row>
    <row r="153" spans="1:15" ht="15.75" customHeight="1">
      <c r="A153" s="6" t="s">
        <v>169</v>
      </c>
      <c r="B153" s="6" t="s">
        <v>22</v>
      </c>
      <c r="C153" s="11" t="s">
        <v>308</v>
      </c>
      <c r="D153" s="45" t="s">
        <v>309</v>
      </c>
      <c r="E153" s="13" t="str">
        <f t="shared" si="10"/>
        <v>24/06/2024</v>
      </c>
      <c r="F153" s="41"/>
      <c r="G153" s="24">
        <v>45422</v>
      </c>
      <c r="H153" s="25">
        <v>104</v>
      </c>
      <c r="I153" s="26">
        <v>377700</v>
      </c>
      <c r="J153" s="27">
        <v>107619</v>
      </c>
      <c r="K153" s="12">
        <v>5381</v>
      </c>
      <c r="L153" s="12">
        <v>3000</v>
      </c>
      <c r="M153" s="12">
        <v>116000</v>
      </c>
      <c r="N153" s="16"/>
      <c r="O153" s="15"/>
    </row>
    <row r="154" spans="1:15" ht="15.75" customHeight="1">
      <c r="A154" s="6" t="s">
        <v>169</v>
      </c>
      <c r="B154" s="6" t="s">
        <v>22</v>
      </c>
      <c r="C154" s="11" t="s">
        <v>310</v>
      </c>
      <c r="D154" s="45" t="s">
        <v>311</v>
      </c>
      <c r="E154" s="13" t="str">
        <f t="shared" si="10"/>
        <v>26/06/2024</v>
      </c>
      <c r="F154" s="41"/>
      <c r="G154" s="24">
        <v>45422</v>
      </c>
      <c r="H154" s="25">
        <v>102</v>
      </c>
      <c r="I154" s="26">
        <v>377700</v>
      </c>
      <c r="J154" s="27">
        <v>105549</v>
      </c>
      <c r="K154" s="12">
        <v>5277</v>
      </c>
      <c r="L154" s="12">
        <v>6000</v>
      </c>
      <c r="M154" s="12">
        <v>116826</v>
      </c>
      <c r="N154" s="16"/>
      <c r="O154" s="15"/>
    </row>
    <row r="155" spans="1:15" ht="15.75" customHeight="1">
      <c r="A155" s="6" t="s">
        <v>169</v>
      </c>
      <c r="B155" s="6" t="s">
        <v>22</v>
      </c>
      <c r="C155" s="11" t="s">
        <v>312</v>
      </c>
      <c r="D155" s="45" t="s">
        <v>311</v>
      </c>
      <c r="E155" s="13" t="str">
        <f t="shared" si="10"/>
        <v>26/06/2024</v>
      </c>
      <c r="F155" s="41"/>
      <c r="G155" s="24">
        <v>45422</v>
      </c>
      <c r="H155" s="25">
        <v>102</v>
      </c>
      <c r="I155" s="26">
        <v>377700</v>
      </c>
      <c r="J155" s="27">
        <v>105549</v>
      </c>
      <c r="K155" s="12">
        <v>5277</v>
      </c>
      <c r="L155" s="12">
        <v>3000</v>
      </c>
      <c r="M155" s="12">
        <v>113826</v>
      </c>
      <c r="N155" s="16"/>
      <c r="O155" s="15"/>
    </row>
    <row r="156" spans="1:15" ht="15.75" customHeight="1">
      <c r="A156" s="6" t="s">
        <v>169</v>
      </c>
      <c r="B156" s="6" t="s">
        <v>22</v>
      </c>
      <c r="C156" s="11" t="s">
        <v>313</v>
      </c>
      <c r="D156" s="45" t="s">
        <v>311</v>
      </c>
      <c r="E156" s="13" t="str">
        <f t="shared" si="10"/>
        <v>26/06/2024</v>
      </c>
      <c r="F156" s="41"/>
      <c r="G156" s="24">
        <v>45422</v>
      </c>
      <c r="H156" s="25">
        <v>102</v>
      </c>
      <c r="I156" s="26">
        <v>377700</v>
      </c>
      <c r="J156" s="27">
        <v>105549</v>
      </c>
      <c r="K156" s="12">
        <v>5277</v>
      </c>
      <c r="L156" s="12">
        <v>3000</v>
      </c>
      <c r="M156" s="12">
        <v>113826</v>
      </c>
      <c r="N156" s="16"/>
      <c r="O156" s="15"/>
    </row>
    <row r="157" spans="1:15" ht="15.75" customHeight="1">
      <c r="A157" s="6" t="s">
        <v>169</v>
      </c>
      <c r="B157" s="6" t="s">
        <v>22</v>
      </c>
      <c r="C157" s="11" t="s">
        <v>314</v>
      </c>
      <c r="D157" s="45" t="s">
        <v>311</v>
      </c>
      <c r="E157" s="13" t="str">
        <f t="shared" si="10"/>
        <v>26/06/2024</v>
      </c>
      <c r="F157" s="41"/>
      <c r="G157" s="24">
        <v>45422</v>
      </c>
      <c r="H157" s="25">
        <v>102</v>
      </c>
      <c r="I157" s="26">
        <v>377700</v>
      </c>
      <c r="J157" s="27">
        <v>105549</v>
      </c>
      <c r="K157" s="12">
        <v>5277</v>
      </c>
      <c r="L157" s="12">
        <v>3000</v>
      </c>
      <c r="M157" s="12">
        <v>113826</v>
      </c>
      <c r="N157" s="16"/>
      <c r="O157" s="15"/>
    </row>
    <row r="158" spans="1:15" ht="15.75" customHeight="1">
      <c r="A158" s="6" t="s">
        <v>169</v>
      </c>
      <c r="B158" s="6" t="s">
        <v>22</v>
      </c>
      <c r="C158" s="11" t="s">
        <v>315</v>
      </c>
      <c r="D158" s="45" t="s">
        <v>311</v>
      </c>
      <c r="E158" s="13" t="str">
        <f t="shared" si="10"/>
        <v>26/06/2024</v>
      </c>
      <c r="F158" s="41"/>
      <c r="G158" s="24">
        <v>45422</v>
      </c>
      <c r="H158" s="25">
        <v>102</v>
      </c>
      <c r="I158" s="26">
        <v>377700</v>
      </c>
      <c r="J158" s="27">
        <v>105549</v>
      </c>
      <c r="K158" s="12">
        <v>5277</v>
      </c>
      <c r="L158" s="12">
        <v>3000</v>
      </c>
      <c r="M158" s="12">
        <v>113826</v>
      </c>
      <c r="N158" s="16"/>
      <c r="O158" s="15"/>
    </row>
    <row r="159" spans="1:15" ht="15.75" customHeight="1">
      <c r="A159" s="6" t="s">
        <v>169</v>
      </c>
      <c r="B159" s="6" t="s">
        <v>22</v>
      </c>
      <c r="C159" s="11" t="s">
        <v>316</v>
      </c>
      <c r="D159" s="45" t="s">
        <v>311</v>
      </c>
      <c r="E159" s="13" t="str">
        <f t="shared" si="10"/>
        <v>26/06/2024</v>
      </c>
      <c r="F159" s="41"/>
      <c r="G159" s="24">
        <v>45422</v>
      </c>
      <c r="H159" s="25">
        <v>102</v>
      </c>
      <c r="I159" s="26">
        <v>377700</v>
      </c>
      <c r="J159" s="27">
        <v>105549</v>
      </c>
      <c r="K159" s="12">
        <v>5277</v>
      </c>
      <c r="L159" s="12">
        <v>3000</v>
      </c>
      <c r="M159" s="12">
        <v>113826</v>
      </c>
      <c r="N159" s="16"/>
      <c r="O159" s="15"/>
    </row>
    <row r="160" spans="1:15" ht="15.75" customHeight="1">
      <c r="A160" s="6" t="s">
        <v>169</v>
      </c>
      <c r="B160" s="6" t="s">
        <v>22</v>
      </c>
      <c r="C160" s="11" t="s">
        <v>317</v>
      </c>
      <c r="D160" s="45" t="s">
        <v>311</v>
      </c>
      <c r="E160" s="13" t="str">
        <f t="shared" si="10"/>
        <v>26/06/2024</v>
      </c>
      <c r="F160" s="41"/>
      <c r="G160" s="24">
        <v>45422</v>
      </c>
      <c r="H160" s="25">
        <v>102</v>
      </c>
      <c r="I160" s="26">
        <v>377700</v>
      </c>
      <c r="J160" s="27">
        <v>105549</v>
      </c>
      <c r="K160" s="12">
        <v>5277</v>
      </c>
      <c r="L160" s="12">
        <v>3000</v>
      </c>
      <c r="M160" s="12">
        <v>113826</v>
      </c>
      <c r="N160" s="16"/>
      <c r="O160" s="15"/>
    </row>
    <row r="161" spans="1:15" ht="15.75" customHeight="1">
      <c r="A161" s="6" t="s">
        <v>169</v>
      </c>
      <c r="B161" s="6" t="s">
        <v>22</v>
      </c>
      <c r="C161" s="11" t="s">
        <v>318</v>
      </c>
      <c r="D161" s="45" t="s">
        <v>311</v>
      </c>
      <c r="E161" s="13" t="str">
        <f t="shared" si="10"/>
        <v>26/06/2024</v>
      </c>
      <c r="F161" s="41"/>
      <c r="G161" s="24">
        <v>45422</v>
      </c>
      <c r="H161" s="25">
        <v>102</v>
      </c>
      <c r="I161" s="26">
        <v>377700</v>
      </c>
      <c r="J161" s="27">
        <v>105549</v>
      </c>
      <c r="K161" s="12">
        <v>5277</v>
      </c>
      <c r="L161" s="12">
        <v>3000</v>
      </c>
      <c r="M161" s="12">
        <v>113826</v>
      </c>
      <c r="N161" s="16"/>
      <c r="O161" s="15"/>
    </row>
    <row r="162" spans="1:15" ht="15.75" customHeight="1">
      <c r="A162" s="6" t="s">
        <v>169</v>
      </c>
      <c r="B162" s="6" t="s">
        <v>22</v>
      </c>
      <c r="C162" s="11" t="s">
        <v>319</v>
      </c>
      <c r="D162" s="45" t="s">
        <v>311</v>
      </c>
      <c r="E162" s="13" t="str">
        <f t="shared" si="10"/>
        <v>26/06/2024</v>
      </c>
      <c r="F162" s="41"/>
      <c r="G162" s="24">
        <v>45422</v>
      </c>
      <c r="H162" s="25">
        <v>102</v>
      </c>
      <c r="I162" s="26">
        <v>377700</v>
      </c>
      <c r="J162" s="27">
        <v>105549</v>
      </c>
      <c r="K162" s="12">
        <v>5277</v>
      </c>
      <c r="L162" s="12">
        <v>3000</v>
      </c>
      <c r="M162" s="12">
        <v>113826</v>
      </c>
      <c r="N162" s="16"/>
      <c r="O162" s="15"/>
    </row>
    <row r="163" spans="1:15" ht="15.75" customHeight="1">
      <c r="A163" s="6" t="s">
        <v>169</v>
      </c>
      <c r="B163" s="6" t="s">
        <v>22</v>
      </c>
      <c r="C163" s="11" t="s">
        <v>320</v>
      </c>
      <c r="D163" s="45" t="s">
        <v>311</v>
      </c>
      <c r="E163" s="13" t="str">
        <f t="shared" si="10"/>
        <v>26/06/2024</v>
      </c>
      <c r="F163" s="41"/>
      <c r="G163" s="24">
        <v>45422</v>
      </c>
      <c r="H163" s="25">
        <v>102</v>
      </c>
      <c r="I163" s="26">
        <v>377700</v>
      </c>
      <c r="J163" s="27">
        <v>105549</v>
      </c>
      <c r="K163" s="12">
        <v>5277</v>
      </c>
      <c r="L163" s="12">
        <v>3000</v>
      </c>
      <c r="M163" s="12">
        <v>113826</v>
      </c>
      <c r="N163" s="16"/>
      <c r="O163" s="15"/>
    </row>
    <row r="164" spans="1:15" ht="15.75" customHeight="1">
      <c r="A164" s="6" t="s">
        <v>169</v>
      </c>
      <c r="B164" s="6" t="s">
        <v>22</v>
      </c>
      <c r="C164" s="11" t="s">
        <v>321</v>
      </c>
      <c r="D164" s="45" t="s">
        <v>311</v>
      </c>
      <c r="E164" s="13" t="str">
        <f t="shared" si="10"/>
        <v>26/06/2024</v>
      </c>
      <c r="F164" s="41"/>
      <c r="G164" s="24">
        <v>45422</v>
      </c>
      <c r="H164" s="25">
        <v>102</v>
      </c>
      <c r="I164" s="26">
        <v>377700</v>
      </c>
      <c r="J164" s="27">
        <v>105549</v>
      </c>
      <c r="K164" s="12">
        <v>5277</v>
      </c>
      <c r="L164" s="12">
        <v>3000</v>
      </c>
      <c r="M164" s="12">
        <v>113826</v>
      </c>
      <c r="N164" s="16"/>
      <c r="O164" s="15"/>
    </row>
    <row r="165" spans="1:15" ht="15.75" customHeight="1">
      <c r="A165" s="6" t="s">
        <v>169</v>
      </c>
      <c r="B165" s="6" t="s">
        <v>22</v>
      </c>
      <c r="C165" s="11" t="s">
        <v>322</v>
      </c>
      <c r="D165" s="45" t="s">
        <v>323</v>
      </c>
      <c r="E165" s="13" t="str">
        <f t="shared" si="10"/>
        <v>27/06/2024</v>
      </c>
      <c r="F165" s="41"/>
      <c r="G165" s="24">
        <v>45422</v>
      </c>
      <c r="H165" s="25">
        <v>101</v>
      </c>
      <c r="I165" s="26">
        <v>377700</v>
      </c>
      <c r="J165" s="27">
        <v>104514</v>
      </c>
      <c r="K165" s="12">
        <v>5226</v>
      </c>
      <c r="L165" s="12">
        <v>3000</v>
      </c>
      <c r="M165" s="12">
        <v>112740</v>
      </c>
      <c r="N165" s="16"/>
      <c r="O165" s="15"/>
    </row>
    <row r="166" spans="1:15" ht="15.75" customHeight="1">
      <c r="A166" s="6" t="s">
        <v>169</v>
      </c>
      <c r="B166" s="6" t="s">
        <v>22</v>
      </c>
      <c r="C166" s="11" t="s">
        <v>324</v>
      </c>
      <c r="D166" s="45" t="s">
        <v>323</v>
      </c>
      <c r="E166" s="13" t="str">
        <f t="shared" si="10"/>
        <v>27/06/2024</v>
      </c>
      <c r="F166" s="41"/>
      <c r="G166" s="24">
        <v>45422</v>
      </c>
      <c r="H166" s="25">
        <v>101</v>
      </c>
      <c r="I166" s="26">
        <v>377700</v>
      </c>
      <c r="J166" s="27">
        <v>104514</v>
      </c>
      <c r="K166" s="12">
        <v>5226</v>
      </c>
      <c r="L166" s="12">
        <v>3000</v>
      </c>
      <c r="M166" s="12">
        <v>112740</v>
      </c>
      <c r="N166" s="16"/>
      <c r="O166" s="15"/>
    </row>
    <row r="167" spans="1:15" ht="15.75" customHeight="1">
      <c r="A167" s="6" t="s">
        <v>169</v>
      </c>
      <c r="B167" s="6" t="s">
        <v>22</v>
      </c>
      <c r="C167" s="11" t="s">
        <v>325</v>
      </c>
      <c r="D167" s="45" t="s">
        <v>326</v>
      </c>
      <c r="E167" s="13" t="str">
        <f t="shared" si="10"/>
        <v>28/06/2024</v>
      </c>
      <c r="F167" s="41"/>
      <c r="G167" s="24">
        <v>45422</v>
      </c>
      <c r="H167" s="25">
        <v>100</v>
      </c>
      <c r="I167" s="26">
        <v>377700</v>
      </c>
      <c r="J167" s="27">
        <v>103479</v>
      </c>
      <c r="K167" s="12">
        <v>5174</v>
      </c>
      <c r="L167" s="12">
        <v>3000</v>
      </c>
      <c r="M167" s="12">
        <v>111653</v>
      </c>
      <c r="N167" s="16"/>
      <c r="O167" s="15"/>
    </row>
    <row r="168" spans="1:15" ht="15.75" customHeight="1">
      <c r="A168" s="6" t="s">
        <v>169</v>
      </c>
      <c r="B168" s="6" t="s">
        <v>22</v>
      </c>
      <c r="C168" s="11" t="s">
        <v>327</v>
      </c>
      <c r="D168" s="45" t="s">
        <v>328</v>
      </c>
      <c r="E168" s="13" t="str">
        <f t="shared" si="10"/>
        <v>28/06/2025</v>
      </c>
      <c r="F168" s="41"/>
      <c r="G168" s="24">
        <v>45422</v>
      </c>
      <c r="H168" s="25">
        <v>96</v>
      </c>
      <c r="I168" s="26">
        <v>377700</v>
      </c>
      <c r="J168" s="27">
        <v>99340</v>
      </c>
      <c r="K168" s="12">
        <v>4967</v>
      </c>
      <c r="L168" s="12">
        <v>3000</v>
      </c>
      <c r="M168" s="12">
        <v>107307</v>
      </c>
      <c r="N168" s="16"/>
      <c r="O168" s="15"/>
    </row>
    <row r="169" spans="1:15" ht="15.75" customHeight="1">
      <c r="A169" s="6" t="s">
        <v>329</v>
      </c>
      <c r="B169" s="6" t="s">
        <v>22</v>
      </c>
      <c r="C169" s="6" t="s">
        <v>330</v>
      </c>
      <c r="D169" s="45" t="s">
        <v>326</v>
      </c>
      <c r="E169" s="13" t="str">
        <f t="shared" si="10"/>
        <v>28/06/2024</v>
      </c>
      <c r="F169" s="41"/>
      <c r="G169" s="24">
        <v>45588</v>
      </c>
      <c r="H169" s="25">
        <v>118</v>
      </c>
      <c r="I169" s="26">
        <v>414529</v>
      </c>
      <c r="J169" s="7">
        <v>134012</v>
      </c>
      <c r="K169" s="7">
        <v>6701</v>
      </c>
      <c r="L169" s="7">
        <v>10000</v>
      </c>
      <c r="M169" s="7">
        <v>150713</v>
      </c>
      <c r="N169" s="16"/>
      <c r="O169" s="15"/>
    </row>
    <row r="170" spans="1:15" ht="15.75" customHeight="1">
      <c r="A170" s="6" t="s">
        <v>329</v>
      </c>
      <c r="B170" s="6" t="s">
        <v>22</v>
      </c>
      <c r="C170" s="6" t="s">
        <v>331</v>
      </c>
      <c r="D170" s="45">
        <v>45329</v>
      </c>
      <c r="E170" s="13" t="str">
        <f t="shared" si="10"/>
        <v>February</v>
      </c>
      <c r="F170" s="24"/>
      <c r="G170" s="24">
        <v>45588</v>
      </c>
      <c r="H170" s="14">
        <v>114</v>
      </c>
      <c r="I170" s="26">
        <v>414529</v>
      </c>
      <c r="J170" s="7">
        <v>129469</v>
      </c>
      <c r="K170" s="7">
        <v>6473</v>
      </c>
      <c r="L170" s="7">
        <v>10000</v>
      </c>
      <c r="M170" s="7">
        <v>145943</v>
      </c>
      <c r="N170" s="16"/>
      <c r="O170" s="15"/>
    </row>
    <row r="171" spans="1:15" ht="15.75" customHeight="1">
      <c r="A171" s="6" t="s">
        <v>120</v>
      </c>
      <c r="B171" s="6" t="s">
        <v>52</v>
      </c>
      <c r="C171" s="6" t="s">
        <v>332</v>
      </c>
      <c r="D171" s="45">
        <v>45475</v>
      </c>
      <c r="E171" s="13" t="str">
        <f t="shared" si="10"/>
        <v>July</v>
      </c>
      <c r="F171" s="24"/>
      <c r="G171" s="24">
        <v>45494</v>
      </c>
      <c r="H171" s="14">
        <v>20</v>
      </c>
      <c r="I171" s="7">
        <v>876136</v>
      </c>
      <c r="J171" s="29">
        <v>47514</v>
      </c>
      <c r="K171" s="7">
        <v>2376</v>
      </c>
      <c r="L171" s="7">
        <v>10000</v>
      </c>
      <c r="M171" s="7">
        <v>59890</v>
      </c>
      <c r="N171" s="16"/>
      <c r="O171" s="15"/>
    </row>
    <row r="172" spans="1:15" ht="15.75" customHeight="1">
      <c r="A172" s="6" t="s">
        <v>120</v>
      </c>
      <c r="B172" s="6" t="s">
        <v>52</v>
      </c>
      <c r="C172" s="6" t="s">
        <v>332</v>
      </c>
      <c r="D172" s="45">
        <v>45495</v>
      </c>
      <c r="E172" s="13" t="str">
        <f t="shared" si="10"/>
        <v>July</v>
      </c>
      <c r="F172" s="28"/>
      <c r="G172" s="28">
        <v>45859</v>
      </c>
      <c r="H172" s="14">
        <v>365</v>
      </c>
      <c r="I172" s="7">
        <v>780422</v>
      </c>
      <c r="J172" s="29">
        <v>780422</v>
      </c>
      <c r="K172" s="7">
        <v>39021</v>
      </c>
      <c r="L172" s="7">
        <v>10000</v>
      </c>
      <c r="M172" s="7">
        <v>829444</v>
      </c>
      <c r="N172" s="16"/>
      <c r="O172" s="15"/>
    </row>
    <row r="173" spans="1:15" ht="15.75" customHeight="1">
      <c r="A173" s="6" t="s">
        <v>224</v>
      </c>
      <c r="B173" s="6" t="s">
        <v>22</v>
      </c>
      <c r="C173" s="6" t="s">
        <v>333</v>
      </c>
      <c r="D173" s="42">
        <v>45358</v>
      </c>
      <c r="E173" s="13" t="str">
        <f t="shared" si="10"/>
        <v>March</v>
      </c>
      <c r="F173" s="13"/>
      <c r="G173" s="30" t="s">
        <v>334</v>
      </c>
      <c r="H173" s="14">
        <v>120</v>
      </c>
      <c r="I173" s="7">
        <v>1364193</v>
      </c>
      <c r="J173" s="7">
        <v>448502</v>
      </c>
      <c r="K173" s="7">
        <v>22425</v>
      </c>
      <c r="L173" s="7">
        <v>40000</v>
      </c>
      <c r="M173" s="7">
        <v>510927</v>
      </c>
      <c r="N173" s="16"/>
      <c r="O173" s="15"/>
    </row>
    <row r="174" spans="1:15" ht="15.75" customHeight="1">
      <c r="A174" s="6" t="s">
        <v>335</v>
      </c>
      <c r="B174" s="6" t="s">
        <v>22</v>
      </c>
      <c r="C174" s="6" t="s">
        <v>336</v>
      </c>
      <c r="D174" s="42">
        <v>45329</v>
      </c>
      <c r="E174" s="13" t="str">
        <f t="shared" si="10"/>
        <v>February</v>
      </c>
      <c r="F174" s="13"/>
      <c r="G174" s="13">
        <v>45903</v>
      </c>
      <c r="H174" s="14">
        <v>251</v>
      </c>
      <c r="I174" s="7">
        <v>1428135</v>
      </c>
      <c r="J174" s="7">
        <v>982087</v>
      </c>
      <c r="K174" s="7">
        <v>49104</v>
      </c>
      <c r="L174" s="7">
        <v>60000</v>
      </c>
      <c r="M174" s="7">
        <v>1091192</v>
      </c>
      <c r="N174" s="16"/>
      <c r="O174" s="15"/>
    </row>
    <row r="175" spans="1:15" ht="15.75" customHeight="1">
      <c r="A175" s="6" t="s">
        <v>337</v>
      </c>
      <c r="B175" s="6" t="s">
        <v>26</v>
      </c>
      <c r="C175" s="6" t="s">
        <v>338</v>
      </c>
      <c r="D175" s="42">
        <v>45572</v>
      </c>
      <c r="E175" s="13" t="str">
        <f t="shared" si="10"/>
        <v>October</v>
      </c>
      <c r="F175" s="13"/>
      <c r="G175" s="13">
        <v>45901</v>
      </c>
      <c r="H175" s="14">
        <v>184</v>
      </c>
      <c r="I175" s="7">
        <v>1099448</v>
      </c>
      <c r="J175" s="7">
        <v>554242</v>
      </c>
      <c r="K175" s="7">
        <v>27712</v>
      </c>
      <c r="L175" s="7">
        <v>30000</v>
      </c>
      <c r="M175" s="7">
        <v>611954</v>
      </c>
      <c r="N175" s="16"/>
      <c r="O175" s="15"/>
    </row>
    <row r="176" spans="1:15" ht="15.75" customHeight="1">
      <c r="A176" s="6" t="s">
        <v>339</v>
      </c>
      <c r="B176" s="6" t="s">
        <v>26</v>
      </c>
      <c r="C176" s="6" t="s">
        <v>340</v>
      </c>
      <c r="D176" s="42">
        <v>45496</v>
      </c>
      <c r="E176" s="13" t="str">
        <f t="shared" si="10"/>
        <v>July</v>
      </c>
      <c r="F176" s="13"/>
      <c r="G176" s="13">
        <v>45848</v>
      </c>
      <c r="H176" s="14">
        <v>353</v>
      </c>
      <c r="I176" s="7">
        <v>180609</v>
      </c>
      <c r="J176" s="7">
        <v>174671</v>
      </c>
      <c r="K176" s="7">
        <v>8734</v>
      </c>
      <c r="L176" s="7">
        <v>5000</v>
      </c>
      <c r="M176" s="7">
        <v>188405</v>
      </c>
      <c r="N176" s="16"/>
      <c r="O176" s="15"/>
    </row>
    <row r="177" spans="1:15" ht="15.75" customHeight="1">
      <c r="A177" s="6" t="s">
        <v>341</v>
      </c>
      <c r="B177" s="6" t="s">
        <v>52</v>
      </c>
      <c r="C177" s="6" t="s">
        <v>342</v>
      </c>
      <c r="D177" s="42">
        <v>45491</v>
      </c>
      <c r="E177" s="13" t="str">
        <f t="shared" si="10"/>
        <v>July</v>
      </c>
      <c r="F177" s="13"/>
      <c r="G177" s="13">
        <v>45796</v>
      </c>
      <c r="H177" s="14">
        <v>306</v>
      </c>
      <c r="I177" s="7">
        <v>949649</v>
      </c>
      <c r="J177" s="7">
        <v>796144</v>
      </c>
      <c r="K177" s="7">
        <v>39809</v>
      </c>
      <c r="L177" s="7">
        <v>20000</v>
      </c>
      <c r="M177" s="7">
        <v>855951</v>
      </c>
      <c r="N177" s="16"/>
      <c r="O177" s="15"/>
    </row>
    <row r="178" spans="1:15" ht="15.75" customHeight="1">
      <c r="A178" s="6" t="s">
        <v>341</v>
      </c>
      <c r="B178" s="6" t="s">
        <v>52</v>
      </c>
      <c r="C178" s="6" t="s">
        <v>343</v>
      </c>
      <c r="D178" s="42">
        <v>45491</v>
      </c>
      <c r="E178" s="13" t="str">
        <f t="shared" si="10"/>
        <v>July</v>
      </c>
      <c r="F178" s="13"/>
      <c r="G178" s="13">
        <v>45796</v>
      </c>
      <c r="H178" s="14">
        <v>306</v>
      </c>
      <c r="I178" s="7">
        <v>190003</v>
      </c>
      <c r="J178" s="7">
        <v>159290</v>
      </c>
      <c r="K178" s="7">
        <v>7965</v>
      </c>
      <c r="L178" s="7">
        <v>5000</v>
      </c>
      <c r="M178" s="7">
        <v>172255</v>
      </c>
      <c r="N178" s="16"/>
      <c r="O178" s="15"/>
    </row>
    <row r="179" spans="1:15" ht="15.75" customHeight="1">
      <c r="A179" s="6" t="s">
        <v>341</v>
      </c>
      <c r="B179" s="6" t="s">
        <v>52</v>
      </c>
      <c r="C179" s="6" t="s">
        <v>344</v>
      </c>
      <c r="D179" s="42">
        <v>45492</v>
      </c>
      <c r="E179" s="13" t="str">
        <f t="shared" si="10"/>
        <v>July</v>
      </c>
      <c r="F179" s="13"/>
      <c r="G179" s="13">
        <v>45796</v>
      </c>
      <c r="H179" s="14">
        <v>305</v>
      </c>
      <c r="I179" s="7">
        <v>240225</v>
      </c>
      <c r="J179" s="7">
        <v>200736</v>
      </c>
      <c r="K179" s="7">
        <v>10037</v>
      </c>
      <c r="L179" s="7">
        <v>5000</v>
      </c>
      <c r="M179" s="7">
        <v>215773</v>
      </c>
      <c r="N179" s="16"/>
      <c r="O179" s="15"/>
    </row>
    <row r="180" spans="1:15" ht="15.75" customHeight="1">
      <c r="A180" s="6" t="s">
        <v>345</v>
      </c>
      <c r="B180" s="6" t="s">
        <v>22</v>
      </c>
      <c r="C180" s="6" t="s">
        <v>346</v>
      </c>
      <c r="D180" s="42">
        <v>45463</v>
      </c>
      <c r="E180" s="13" t="str">
        <f t="shared" si="10"/>
        <v>June</v>
      </c>
      <c r="F180" s="13"/>
      <c r="G180" s="13">
        <v>45777</v>
      </c>
      <c r="H180" s="14">
        <f>G180-D180+1</f>
        <v>315</v>
      </c>
      <c r="I180" s="7">
        <v>801375</v>
      </c>
      <c r="J180" s="7">
        <f>I180*H180/365</f>
        <v>691597.60273972608</v>
      </c>
      <c r="K180" s="7">
        <f>J180*5%</f>
        <v>34579.880136986307</v>
      </c>
      <c r="L180" s="7">
        <v>50000</v>
      </c>
      <c r="M180" s="7">
        <f>SUM(J180:L180)</f>
        <v>776177.48287671234</v>
      </c>
      <c r="N180" s="16"/>
      <c r="O180" s="15"/>
    </row>
    <row r="181" spans="1:15" ht="15.75" customHeight="1">
      <c r="A181" s="6" t="s">
        <v>345</v>
      </c>
      <c r="B181" s="6" t="s">
        <v>22</v>
      </c>
      <c r="C181" s="6" t="s">
        <v>347</v>
      </c>
      <c r="D181" s="42">
        <v>45463</v>
      </c>
      <c r="E181" s="13" t="str">
        <f t="shared" si="10"/>
        <v>June</v>
      </c>
      <c r="F181" s="13"/>
      <c r="G181" s="13">
        <v>45777</v>
      </c>
      <c r="H181" s="14">
        <f>G181-D181+1</f>
        <v>315</v>
      </c>
      <c r="I181" s="7">
        <v>801375</v>
      </c>
      <c r="J181" s="7">
        <f>I181*H181/365</f>
        <v>691597.60273972608</v>
      </c>
      <c r="K181" s="7">
        <f>J181*5%</f>
        <v>34579.880136986307</v>
      </c>
      <c r="L181" s="7">
        <v>10000</v>
      </c>
      <c r="M181" s="7">
        <f>SUM(J181:L181)</f>
        <v>736177.48287671234</v>
      </c>
      <c r="N181" s="16"/>
      <c r="O181" s="15"/>
    </row>
    <row r="182" spans="1:15" ht="15.75" customHeight="1">
      <c r="A182" s="6" t="s">
        <v>345</v>
      </c>
      <c r="B182" s="6" t="s">
        <v>22</v>
      </c>
      <c r="C182" s="6" t="s">
        <v>348</v>
      </c>
      <c r="D182" s="42">
        <v>45463</v>
      </c>
      <c r="E182" s="13" t="str">
        <f t="shared" si="10"/>
        <v>June</v>
      </c>
      <c r="F182" s="13"/>
      <c r="G182" s="13">
        <v>45777</v>
      </c>
      <c r="H182" s="14">
        <f>G182-D182+1</f>
        <v>315</v>
      </c>
      <c r="I182" s="7">
        <v>801375</v>
      </c>
      <c r="J182" s="7">
        <f>I182*H182/365</f>
        <v>691597.60273972608</v>
      </c>
      <c r="K182" s="7">
        <f>J182*5%</f>
        <v>34579.880136986307</v>
      </c>
      <c r="L182" s="7">
        <v>10000</v>
      </c>
      <c r="M182" s="7">
        <f>SUM(J182:L182)</f>
        <v>736177.48287671234</v>
      </c>
      <c r="N182" s="16"/>
      <c r="O182" s="15"/>
    </row>
    <row r="183" spans="1:15" ht="15.75" customHeight="1">
      <c r="A183" s="6" t="s">
        <v>349</v>
      </c>
      <c r="B183" s="6" t="s">
        <v>22</v>
      </c>
      <c r="C183" s="6" t="s">
        <v>350</v>
      </c>
      <c r="D183" s="42">
        <v>45498</v>
      </c>
      <c r="E183" s="13" t="str">
        <f t="shared" si="10"/>
        <v>July</v>
      </c>
      <c r="F183" s="13"/>
      <c r="G183" s="13">
        <v>45832</v>
      </c>
      <c r="H183" s="14">
        <v>335</v>
      </c>
      <c r="I183" s="7">
        <v>504665</v>
      </c>
      <c r="J183" s="7">
        <v>463185</v>
      </c>
      <c r="K183" s="7">
        <v>23159</v>
      </c>
      <c r="L183" s="7">
        <v>10000</v>
      </c>
      <c r="M183" s="7">
        <v>496345</v>
      </c>
      <c r="N183" s="16"/>
      <c r="O183" s="15"/>
    </row>
    <row r="184" spans="1:15" ht="15.75" customHeight="1">
      <c r="A184" s="6" t="s">
        <v>337</v>
      </c>
      <c r="B184" s="6" t="s">
        <v>26</v>
      </c>
      <c r="C184" s="6" t="s">
        <v>351</v>
      </c>
      <c r="D184" s="42">
        <v>45504</v>
      </c>
      <c r="E184" s="13" t="str">
        <f t="shared" si="10"/>
        <v>July</v>
      </c>
      <c r="F184" s="13"/>
      <c r="G184" s="13">
        <v>45666</v>
      </c>
      <c r="H184" s="14">
        <f>G184-D184+1</f>
        <v>163</v>
      </c>
      <c r="I184" s="7">
        <v>225268</v>
      </c>
      <c r="J184" s="7">
        <f t="shared" ref="J184:J224" si="11">I184*H184/365</f>
        <v>100599.13424657534</v>
      </c>
      <c r="K184" s="7">
        <f t="shared" ref="K184:K224" si="12">J184*5%</f>
        <v>5029.956712328767</v>
      </c>
      <c r="L184" s="7">
        <v>10000</v>
      </c>
      <c r="M184" s="7">
        <f t="shared" ref="M184:M224" si="13">SUM(J184:L184)</f>
        <v>115629.09095890411</v>
      </c>
      <c r="N184" s="16"/>
      <c r="O184" s="15"/>
    </row>
    <row r="185" spans="1:15" ht="15.75" customHeight="1">
      <c r="A185" s="6" t="s">
        <v>41</v>
      </c>
      <c r="B185" s="6" t="s">
        <v>22</v>
      </c>
      <c r="C185" s="6" t="s">
        <v>352</v>
      </c>
      <c r="D185" s="42">
        <v>45505</v>
      </c>
      <c r="E185" s="13" t="str">
        <f t="shared" si="10"/>
        <v>August</v>
      </c>
      <c r="F185" s="13"/>
      <c r="G185" s="13">
        <v>45709</v>
      </c>
      <c r="H185" s="14">
        <v>205</v>
      </c>
      <c r="I185" s="7">
        <v>133012</v>
      </c>
      <c r="J185" s="7">
        <f t="shared" si="11"/>
        <v>74705.369863013693</v>
      </c>
      <c r="K185" s="7">
        <f t="shared" si="12"/>
        <v>3735.2684931506847</v>
      </c>
      <c r="L185" s="7">
        <v>10000</v>
      </c>
      <c r="M185" s="7">
        <f t="shared" si="13"/>
        <v>88440.638356164374</v>
      </c>
      <c r="N185" s="16"/>
      <c r="O185" s="15"/>
    </row>
    <row r="186" spans="1:15" ht="15.75" customHeight="1">
      <c r="A186" s="6" t="s">
        <v>41</v>
      </c>
      <c r="B186" s="6" t="s">
        <v>22</v>
      </c>
      <c r="C186" s="6" t="s">
        <v>353</v>
      </c>
      <c r="D186" s="42">
        <v>45505</v>
      </c>
      <c r="E186" s="13" t="str">
        <f t="shared" si="10"/>
        <v>August</v>
      </c>
      <c r="F186" s="13"/>
      <c r="G186" s="13">
        <v>45709</v>
      </c>
      <c r="H186" s="14">
        <v>205</v>
      </c>
      <c r="I186" s="7">
        <v>133012</v>
      </c>
      <c r="J186" s="7">
        <f t="shared" si="11"/>
        <v>74705.369863013693</v>
      </c>
      <c r="K186" s="7">
        <f t="shared" si="12"/>
        <v>3735.2684931506847</v>
      </c>
      <c r="L186" s="7">
        <v>10000</v>
      </c>
      <c r="M186" s="7">
        <f t="shared" si="13"/>
        <v>88440.638356164374</v>
      </c>
      <c r="N186" s="16"/>
      <c r="O186" s="15"/>
    </row>
    <row r="187" spans="1:15" ht="15.75" customHeight="1">
      <c r="A187" s="6" t="s">
        <v>354</v>
      </c>
      <c r="B187" s="6" t="s">
        <v>22</v>
      </c>
      <c r="C187" s="6" t="s">
        <v>355</v>
      </c>
      <c r="D187" s="42">
        <v>45509</v>
      </c>
      <c r="E187" s="13" t="str">
        <f t="shared" si="10"/>
        <v>August</v>
      </c>
      <c r="F187" s="13"/>
      <c r="G187" s="13">
        <v>45693</v>
      </c>
      <c r="H187" s="14">
        <f t="shared" ref="H187:H224" si="14">G187-D187+1</f>
        <v>185</v>
      </c>
      <c r="I187" s="7">
        <v>1265350</v>
      </c>
      <c r="J187" s="7">
        <f t="shared" si="11"/>
        <v>641341.78082191781</v>
      </c>
      <c r="K187" s="7">
        <f t="shared" si="12"/>
        <v>32067.089041095893</v>
      </c>
      <c r="L187" s="7">
        <v>40000</v>
      </c>
      <c r="M187" s="7">
        <f t="shared" si="13"/>
        <v>713408.86986301374</v>
      </c>
      <c r="N187" s="16"/>
      <c r="O187" s="15"/>
    </row>
    <row r="188" spans="1:15" ht="15.75" customHeight="1">
      <c r="A188" s="6" t="s">
        <v>354</v>
      </c>
      <c r="B188" s="6" t="s">
        <v>22</v>
      </c>
      <c r="C188" s="6" t="s">
        <v>356</v>
      </c>
      <c r="D188" s="42">
        <v>45509</v>
      </c>
      <c r="E188" s="13" t="str">
        <f t="shared" si="10"/>
        <v>August</v>
      </c>
      <c r="F188" s="13"/>
      <c r="G188" s="13">
        <v>45693</v>
      </c>
      <c r="H188" s="14">
        <f t="shared" si="14"/>
        <v>185</v>
      </c>
      <c r="I188" s="7">
        <v>1265350</v>
      </c>
      <c r="J188" s="7">
        <f t="shared" si="11"/>
        <v>641341.78082191781</v>
      </c>
      <c r="K188" s="7">
        <f t="shared" si="12"/>
        <v>32067.089041095893</v>
      </c>
      <c r="L188" s="7">
        <v>20000</v>
      </c>
      <c r="M188" s="7">
        <f t="shared" si="13"/>
        <v>693408.86986301374</v>
      </c>
      <c r="N188" s="16"/>
      <c r="O188" s="15"/>
    </row>
    <row r="189" spans="1:15" ht="15.75" customHeight="1">
      <c r="A189" s="6" t="s">
        <v>354</v>
      </c>
      <c r="B189" s="6" t="s">
        <v>22</v>
      </c>
      <c r="C189" s="6" t="s">
        <v>357</v>
      </c>
      <c r="D189" s="42">
        <v>45511</v>
      </c>
      <c r="E189" s="13" t="str">
        <f t="shared" si="10"/>
        <v>August</v>
      </c>
      <c r="F189" s="13"/>
      <c r="G189" s="13">
        <v>45693</v>
      </c>
      <c r="H189" s="14">
        <f t="shared" si="14"/>
        <v>183</v>
      </c>
      <c r="I189" s="7">
        <v>1265350</v>
      </c>
      <c r="J189" s="7">
        <f t="shared" si="11"/>
        <v>634408.35616438359</v>
      </c>
      <c r="K189" s="7">
        <f t="shared" si="12"/>
        <v>31720.417808219179</v>
      </c>
      <c r="L189" s="7">
        <v>10000</v>
      </c>
      <c r="M189" s="7">
        <f t="shared" si="13"/>
        <v>676128.77397260279</v>
      </c>
      <c r="N189" s="16"/>
      <c r="O189" s="15"/>
    </row>
    <row r="190" spans="1:15" ht="15.75" customHeight="1">
      <c r="A190" s="6" t="s">
        <v>222</v>
      </c>
      <c r="B190" s="6" t="s">
        <v>22</v>
      </c>
      <c r="C190" s="6" t="s">
        <v>358</v>
      </c>
      <c r="D190" s="42">
        <v>45521</v>
      </c>
      <c r="E190" s="13" t="str">
        <f t="shared" si="10"/>
        <v>August</v>
      </c>
      <c r="F190" s="13"/>
      <c r="G190" s="13">
        <v>45559</v>
      </c>
      <c r="H190" s="14">
        <f t="shared" si="14"/>
        <v>39</v>
      </c>
      <c r="I190" s="7">
        <v>210228</v>
      </c>
      <c r="J190" s="7">
        <f t="shared" si="11"/>
        <v>22462.717808219179</v>
      </c>
      <c r="K190" s="7">
        <f t="shared" si="12"/>
        <v>1123.1358904109591</v>
      </c>
      <c r="L190" s="7">
        <v>10000</v>
      </c>
      <c r="M190" s="7">
        <f t="shared" si="13"/>
        <v>33585.853698630133</v>
      </c>
      <c r="N190" s="16"/>
      <c r="O190" s="15"/>
    </row>
    <row r="191" spans="1:15" ht="15.75" customHeight="1">
      <c r="A191" s="6" t="s">
        <v>359</v>
      </c>
      <c r="B191" s="6" t="s">
        <v>26</v>
      </c>
      <c r="C191" s="6" t="s">
        <v>360</v>
      </c>
      <c r="D191" s="42">
        <v>45510</v>
      </c>
      <c r="E191" s="13" t="str">
        <f t="shared" si="10"/>
        <v>August</v>
      </c>
      <c r="F191" s="13"/>
      <c r="G191" s="13">
        <v>45852</v>
      </c>
      <c r="H191" s="14">
        <f t="shared" si="14"/>
        <v>343</v>
      </c>
      <c r="I191" s="7">
        <v>436309</v>
      </c>
      <c r="J191" s="7">
        <f t="shared" si="11"/>
        <v>410010.92328767123</v>
      </c>
      <c r="K191" s="7">
        <f t="shared" si="12"/>
        <v>20500.546164383562</v>
      </c>
      <c r="L191" s="7">
        <v>5000</v>
      </c>
      <c r="M191" s="7">
        <f t="shared" si="13"/>
        <v>435511.46945205482</v>
      </c>
      <c r="N191" s="16"/>
      <c r="O191" s="15"/>
    </row>
    <row r="192" spans="1:15" ht="15.75" customHeight="1">
      <c r="A192" s="6" t="s">
        <v>361</v>
      </c>
      <c r="B192" s="6" t="s">
        <v>22</v>
      </c>
      <c r="C192" s="6" t="s">
        <v>362</v>
      </c>
      <c r="D192" s="42">
        <v>45532</v>
      </c>
      <c r="E192" s="13" t="str">
        <f t="shared" si="10"/>
        <v>August</v>
      </c>
      <c r="F192" s="13"/>
      <c r="G192" s="13">
        <v>45819</v>
      </c>
      <c r="H192" s="14">
        <f t="shared" si="14"/>
        <v>288</v>
      </c>
      <c r="I192" s="7">
        <v>480109</v>
      </c>
      <c r="J192" s="7">
        <f t="shared" si="11"/>
        <v>378825.73150684929</v>
      </c>
      <c r="K192" s="7">
        <f t="shared" si="12"/>
        <v>18941.286575342467</v>
      </c>
      <c r="L192" s="7">
        <v>10000</v>
      </c>
      <c r="M192" s="7">
        <f t="shared" si="13"/>
        <v>407767.01808219176</v>
      </c>
      <c r="N192" s="16"/>
      <c r="O192" s="15"/>
    </row>
    <row r="193" spans="1:15" ht="15.75" customHeight="1">
      <c r="A193" s="6" t="s">
        <v>62</v>
      </c>
      <c r="B193" s="6" t="s">
        <v>26</v>
      </c>
      <c r="C193" s="6" t="s">
        <v>363</v>
      </c>
      <c r="D193" s="42">
        <v>45532</v>
      </c>
      <c r="E193" s="13" t="str">
        <f t="shared" si="10"/>
        <v>August</v>
      </c>
      <c r="F193" s="13"/>
      <c r="G193" s="13">
        <v>45771</v>
      </c>
      <c r="H193" s="14">
        <f t="shared" si="14"/>
        <v>240</v>
      </c>
      <c r="I193" s="7">
        <v>491798</v>
      </c>
      <c r="J193" s="7">
        <f t="shared" si="11"/>
        <v>323374.0273972603</v>
      </c>
      <c r="K193" s="7">
        <f t="shared" si="12"/>
        <v>16168.701369863016</v>
      </c>
      <c r="L193" s="7">
        <v>10000</v>
      </c>
      <c r="M193" s="7">
        <f t="shared" si="13"/>
        <v>349542.72876712331</v>
      </c>
      <c r="N193" s="16"/>
      <c r="O193" s="15"/>
    </row>
    <row r="194" spans="1:15" ht="15.75" customHeight="1">
      <c r="A194" s="6" t="s">
        <v>41</v>
      </c>
      <c r="B194" s="6" t="s">
        <v>22</v>
      </c>
      <c r="C194" s="6" t="s">
        <v>364</v>
      </c>
      <c r="D194" s="42">
        <v>45536</v>
      </c>
      <c r="E194" s="13" t="str">
        <f t="shared" si="10"/>
        <v>September</v>
      </c>
      <c r="F194" s="13"/>
      <c r="G194" s="13">
        <v>45709</v>
      </c>
      <c r="H194" s="14">
        <f t="shared" si="14"/>
        <v>174</v>
      </c>
      <c r="I194" s="7">
        <v>297868</v>
      </c>
      <c r="J194" s="7">
        <f t="shared" si="11"/>
        <v>141997.34794520549</v>
      </c>
      <c r="K194" s="7">
        <f t="shared" si="12"/>
        <v>7099.8673972602746</v>
      </c>
      <c r="L194" s="7">
        <v>10000</v>
      </c>
      <c r="M194" s="7">
        <f t="shared" si="13"/>
        <v>159097.21534246576</v>
      </c>
      <c r="N194" s="16"/>
      <c r="O194" s="15"/>
    </row>
    <row r="195" spans="1:15" ht="15.75" customHeight="1">
      <c r="A195" s="6" t="s">
        <v>41</v>
      </c>
      <c r="B195" s="6" t="s">
        <v>22</v>
      </c>
      <c r="C195" s="6" t="s">
        <v>365</v>
      </c>
      <c r="D195" s="42">
        <v>45536</v>
      </c>
      <c r="E195" s="13" t="str">
        <f t="shared" ref="E195:E224" si="15">TEXT(D195, "mmmm")</f>
        <v>September</v>
      </c>
      <c r="F195" s="13"/>
      <c r="G195" s="13">
        <v>45709</v>
      </c>
      <c r="H195" s="14">
        <f t="shared" si="14"/>
        <v>174</v>
      </c>
      <c r="I195" s="7">
        <v>297868</v>
      </c>
      <c r="J195" s="7">
        <f t="shared" si="11"/>
        <v>141997.34794520549</v>
      </c>
      <c r="K195" s="7">
        <f t="shared" si="12"/>
        <v>7099.8673972602746</v>
      </c>
      <c r="L195" s="7">
        <v>10000</v>
      </c>
      <c r="M195" s="7">
        <f t="shared" si="13"/>
        <v>159097.21534246576</v>
      </c>
      <c r="N195" s="16"/>
      <c r="O195" s="15"/>
    </row>
    <row r="196" spans="1:15" ht="15.75" customHeight="1">
      <c r="A196" s="6" t="s">
        <v>41</v>
      </c>
      <c r="B196" s="6" t="s">
        <v>22</v>
      </c>
      <c r="C196" s="6" t="s">
        <v>366</v>
      </c>
      <c r="D196" s="42">
        <v>45536</v>
      </c>
      <c r="E196" s="13" t="str">
        <f t="shared" si="15"/>
        <v>September</v>
      </c>
      <c r="F196" s="13"/>
      <c r="G196" s="13">
        <v>45709</v>
      </c>
      <c r="H196" s="14">
        <f t="shared" si="14"/>
        <v>174</v>
      </c>
      <c r="I196" s="7">
        <v>133012</v>
      </c>
      <c r="J196" s="7">
        <f t="shared" si="11"/>
        <v>63408.460273972603</v>
      </c>
      <c r="K196" s="7">
        <f t="shared" si="12"/>
        <v>3170.4230136986303</v>
      </c>
      <c r="L196" s="7">
        <v>10000</v>
      </c>
      <c r="M196" s="7">
        <f t="shared" si="13"/>
        <v>76578.88328767124</v>
      </c>
      <c r="N196" s="16"/>
      <c r="O196" s="15"/>
    </row>
    <row r="197" spans="1:15" ht="15.75" customHeight="1">
      <c r="A197" s="6" t="s">
        <v>64</v>
      </c>
      <c r="B197" s="6" t="s">
        <v>26</v>
      </c>
      <c r="C197" s="6" t="s">
        <v>367</v>
      </c>
      <c r="D197" s="42">
        <v>45536</v>
      </c>
      <c r="E197" s="13" t="str">
        <f t="shared" si="15"/>
        <v>September</v>
      </c>
      <c r="F197" s="13"/>
      <c r="G197" s="13">
        <v>45774</v>
      </c>
      <c r="H197" s="14">
        <f t="shared" si="14"/>
        <v>239</v>
      </c>
      <c r="I197" s="7">
        <v>490359</v>
      </c>
      <c r="J197" s="7">
        <f t="shared" si="11"/>
        <v>321084.38630136987</v>
      </c>
      <c r="K197" s="7">
        <f t="shared" si="12"/>
        <v>16054.219315068494</v>
      </c>
      <c r="L197" s="7">
        <v>5000</v>
      </c>
      <c r="M197" s="7">
        <f t="shared" si="13"/>
        <v>342138.60561643838</v>
      </c>
      <c r="N197" s="16"/>
      <c r="O197" s="15"/>
    </row>
    <row r="198" spans="1:15" ht="15.75" customHeight="1">
      <c r="A198" s="6" t="s">
        <v>64</v>
      </c>
      <c r="B198" s="6" t="s">
        <v>26</v>
      </c>
      <c r="C198" s="6" t="s">
        <v>368</v>
      </c>
      <c r="D198" s="42">
        <v>45536</v>
      </c>
      <c r="E198" s="13" t="str">
        <f t="shared" si="15"/>
        <v>September</v>
      </c>
      <c r="F198" s="13"/>
      <c r="G198" s="13">
        <v>45774</v>
      </c>
      <c r="H198" s="14">
        <f t="shared" si="14"/>
        <v>239</v>
      </c>
      <c r="I198" s="7">
        <v>490359</v>
      </c>
      <c r="J198" s="7">
        <f t="shared" si="11"/>
        <v>321084.38630136987</v>
      </c>
      <c r="K198" s="7">
        <f t="shared" si="12"/>
        <v>16054.219315068494</v>
      </c>
      <c r="L198" s="7">
        <v>5000</v>
      </c>
      <c r="M198" s="7">
        <f t="shared" si="13"/>
        <v>342138.60561643838</v>
      </c>
      <c r="N198" s="16"/>
      <c r="O198" s="15"/>
    </row>
    <row r="199" spans="1:15" ht="15.75" customHeight="1">
      <c r="A199" s="6" t="s">
        <v>64</v>
      </c>
      <c r="B199" s="6" t="s">
        <v>26</v>
      </c>
      <c r="C199" s="6" t="s">
        <v>369</v>
      </c>
      <c r="D199" s="42">
        <v>45536</v>
      </c>
      <c r="E199" s="13" t="str">
        <f t="shared" si="15"/>
        <v>September</v>
      </c>
      <c r="F199" s="13"/>
      <c r="G199" s="13">
        <v>45774</v>
      </c>
      <c r="H199" s="14">
        <f t="shared" si="14"/>
        <v>239</v>
      </c>
      <c r="I199" s="7">
        <v>490359</v>
      </c>
      <c r="J199" s="7">
        <f t="shared" si="11"/>
        <v>321084.38630136987</v>
      </c>
      <c r="K199" s="7">
        <f t="shared" si="12"/>
        <v>16054.219315068494</v>
      </c>
      <c r="L199" s="7">
        <v>5000</v>
      </c>
      <c r="M199" s="7">
        <f t="shared" si="13"/>
        <v>342138.60561643838</v>
      </c>
      <c r="N199" s="16"/>
      <c r="O199" s="15"/>
    </row>
    <row r="200" spans="1:15" ht="15.75" customHeight="1">
      <c r="A200" s="6" t="s">
        <v>64</v>
      </c>
      <c r="B200" s="6" t="s">
        <v>26</v>
      </c>
      <c r="C200" s="6" t="s">
        <v>370</v>
      </c>
      <c r="D200" s="42">
        <v>45536</v>
      </c>
      <c r="E200" s="13" t="str">
        <f t="shared" si="15"/>
        <v>September</v>
      </c>
      <c r="F200" s="13"/>
      <c r="G200" s="13">
        <v>45774</v>
      </c>
      <c r="H200" s="14">
        <f t="shared" si="14"/>
        <v>239</v>
      </c>
      <c r="I200" s="7">
        <v>490359</v>
      </c>
      <c r="J200" s="7">
        <f t="shared" si="11"/>
        <v>321084.38630136987</v>
      </c>
      <c r="K200" s="7">
        <f t="shared" si="12"/>
        <v>16054.219315068494</v>
      </c>
      <c r="L200" s="7">
        <v>5000</v>
      </c>
      <c r="M200" s="7">
        <f t="shared" si="13"/>
        <v>342138.60561643838</v>
      </c>
      <c r="N200" s="16"/>
      <c r="O200" s="15"/>
    </row>
    <row r="201" spans="1:15" ht="15.75" customHeight="1">
      <c r="A201" s="6" t="s">
        <v>64</v>
      </c>
      <c r="B201" s="6" t="s">
        <v>26</v>
      </c>
      <c r="C201" s="6" t="s">
        <v>371</v>
      </c>
      <c r="D201" s="42">
        <v>45536</v>
      </c>
      <c r="E201" s="13" t="str">
        <f t="shared" si="15"/>
        <v>September</v>
      </c>
      <c r="F201" s="13"/>
      <c r="G201" s="13">
        <v>45774</v>
      </c>
      <c r="H201" s="14">
        <f t="shared" si="14"/>
        <v>239</v>
      </c>
      <c r="I201" s="7">
        <v>490359</v>
      </c>
      <c r="J201" s="7">
        <f t="shared" si="11"/>
        <v>321084.38630136987</v>
      </c>
      <c r="K201" s="7">
        <f t="shared" si="12"/>
        <v>16054.219315068494</v>
      </c>
      <c r="L201" s="7">
        <v>5000</v>
      </c>
      <c r="M201" s="7">
        <f t="shared" si="13"/>
        <v>342138.60561643838</v>
      </c>
      <c r="N201" s="16"/>
      <c r="O201" s="15"/>
    </row>
    <row r="202" spans="1:15" ht="15.75" customHeight="1">
      <c r="A202" s="6" t="s">
        <v>64</v>
      </c>
      <c r="B202" s="6" t="s">
        <v>26</v>
      </c>
      <c r="C202" s="6" t="s">
        <v>372</v>
      </c>
      <c r="D202" s="42">
        <v>45536</v>
      </c>
      <c r="E202" s="13" t="str">
        <f t="shared" si="15"/>
        <v>September</v>
      </c>
      <c r="F202" s="13"/>
      <c r="G202" s="13">
        <v>45774</v>
      </c>
      <c r="H202" s="14">
        <f t="shared" si="14"/>
        <v>239</v>
      </c>
      <c r="I202" s="7">
        <v>490359</v>
      </c>
      <c r="J202" s="7">
        <f t="shared" si="11"/>
        <v>321084.38630136987</v>
      </c>
      <c r="K202" s="7">
        <f t="shared" si="12"/>
        <v>16054.219315068494</v>
      </c>
      <c r="L202" s="7">
        <v>5000</v>
      </c>
      <c r="M202" s="7">
        <f t="shared" si="13"/>
        <v>342138.60561643838</v>
      </c>
      <c r="N202" s="16"/>
      <c r="O202" s="15"/>
    </row>
    <row r="203" spans="1:15" ht="15.75" customHeight="1">
      <c r="A203" s="6" t="s">
        <v>64</v>
      </c>
      <c r="B203" s="6" t="s">
        <v>26</v>
      </c>
      <c r="C203" s="6" t="s">
        <v>373</v>
      </c>
      <c r="D203" s="42">
        <v>45536</v>
      </c>
      <c r="E203" s="13" t="str">
        <f t="shared" si="15"/>
        <v>September</v>
      </c>
      <c r="F203" s="13"/>
      <c r="G203" s="13">
        <v>45774</v>
      </c>
      <c r="H203" s="14">
        <f t="shared" si="14"/>
        <v>239</v>
      </c>
      <c r="I203" s="7">
        <v>490359</v>
      </c>
      <c r="J203" s="7">
        <f t="shared" si="11"/>
        <v>321084.38630136987</v>
      </c>
      <c r="K203" s="7">
        <f t="shared" si="12"/>
        <v>16054.219315068494</v>
      </c>
      <c r="L203" s="7">
        <v>5000</v>
      </c>
      <c r="M203" s="7">
        <f t="shared" si="13"/>
        <v>342138.60561643838</v>
      </c>
      <c r="N203" s="16"/>
      <c r="O203" s="15"/>
    </row>
    <row r="204" spans="1:15" ht="15.75" customHeight="1">
      <c r="A204" s="6" t="s">
        <v>64</v>
      </c>
      <c r="B204" s="6" t="s">
        <v>26</v>
      </c>
      <c r="C204" s="6" t="s">
        <v>374</v>
      </c>
      <c r="D204" s="42">
        <v>45536</v>
      </c>
      <c r="E204" s="13" t="str">
        <f t="shared" si="15"/>
        <v>September</v>
      </c>
      <c r="F204" s="13"/>
      <c r="G204" s="13">
        <v>45774</v>
      </c>
      <c r="H204" s="14">
        <f t="shared" si="14"/>
        <v>239</v>
      </c>
      <c r="I204" s="7">
        <v>490359</v>
      </c>
      <c r="J204" s="7">
        <f t="shared" si="11"/>
        <v>321084.38630136987</v>
      </c>
      <c r="K204" s="7">
        <f t="shared" si="12"/>
        <v>16054.219315068494</v>
      </c>
      <c r="L204" s="7">
        <v>5000</v>
      </c>
      <c r="M204" s="7">
        <f t="shared" si="13"/>
        <v>342138.60561643838</v>
      </c>
      <c r="N204" s="16"/>
      <c r="O204" s="15"/>
    </row>
    <row r="205" spans="1:15" ht="15.75" customHeight="1">
      <c r="A205" s="6" t="s">
        <v>64</v>
      </c>
      <c r="B205" s="6" t="s">
        <v>26</v>
      </c>
      <c r="C205" s="6" t="s">
        <v>375</v>
      </c>
      <c r="D205" s="42">
        <v>45536</v>
      </c>
      <c r="E205" s="13" t="str">
        <f t="shared" si="15"/>
        <v>September</v>
      </c>
      <c r="F205" s="13"/>
      <c r="G205" s="13">
        <v>45774</v>
      </c>
      <c r="H205" s="14">
        <f t="shared" si="14"/>
        <v>239</v>
      </c>
      <c r="I205" s="7">
        <v>490359</v>
      </c>
      <c r="J205" s="7">
        <f t="shared" si="11"/>
        <v>321084.38630136987</v>
      </c>
      <c r="K205" s="7">
        <f t="shared" si="12"/>
        <v>16054.219315068494</v>
      </c>
      <c r="L205" s="7">
        <v>5000</v>
      </c>
      <c r="M205" s="7">
        <f t="shared" si="13"/>
        <v>342138.60561643838</v>
      </c>
      <c r="N205" s="16"/>
      <c r="O205" s="15"/>
    </row>
    <row r="206" spans="1:15" ht="15.75" customHeight="1">
      <c r="A206" s="6" t="s">
        <v>64</v>
      </c>
      <c r="B206" s="6" t="s">
        <v>26</v>
      </c>
      <c r="C206" s="6" t="s">
        <v>376</v>
      </c>
      <c r="D206" s="42">
        <v>45536</v>
      </c>
      <c r="E206" s="13" t="str">
        <f t="shared" si="15"/>
        <v>September</v>
      </c>
      <c r="F206" s="13"/>
      <c r="G206" s="13">
        <v>45774</v>
      </c>
      <c r="H206" s="14">
        <f t="shared" si="14"/>
        <v>239</v>
      </c>
      <c r="I206" s="7">
        <v>490359</v>
      </c>
      <c r="J206" s="7">
        <f t="shared" si="11"/>
        <v>321084.38630136987</v>
      </c>
      <c r="K206" s="7">
        <f t="shared" si="12"/>
        <v>16054.219315068494</v>
      </c>
      <c r="L206" s="7">
        <v>5000</v>
      </c>
      <c r="M206" s="7">
        <f t="shared" si="13"/>
        <v>342138.60561643838</v>
      </c>
      <c r="N206" s="16"/>
      <c r="O206" s="15"/>
    </row>
    <row r="207" spans="1:15" ht="15.75" customHeight="1">
      <c r="A207" s="6" t="s">
        <v>64</v>
      </c>
      <c r="B207" s="6" t="s">
        <v>26</v>
      </c>
      <c r="C207" s="6" t="s">
        <v>377</v>
      </c>
      <c r="D207" s="42">
        <v>45536</v>
      </c>
      <c r="E207" s="13" t="str">
        <f t="shared" si="15"/>
        <v>September</v>
      </c>
      <c r="F207" s="13"/>
      <c r="G207" s="13">
        <v>45774</v>
      </c>
      <c r="H207" s="14">
        <f t="shared" si="14"/>
        <v>239</v>
      </c>
      <c r="I207" s="7">
        <v>490359</v>
      </c>
      <c r="J207" s="7">
        <f t="shared" si="11"/>
        <v>321084.38630136987</v>
      </c>
      <c r="K207" s="7">
        <f t="shared" si="12"/>
        <v>16054.219315068494</v>
      </c>
      <c r="L207" s="7">
        <v>5000</v>
      </c>
      <c r="M207" s="7">
        <f t="shared" si="13"/>
        <v>342138.60561643838</v>
      </c>
      <c r="N207" s="16"/>
      <c r="O207" s="15"/>
    </row>
    <row r="208" spans="1:15" ht="15.75" customHeight="1">
      <c r="A208" s="6" t="s">
        <v>64</v>
      </c>
      <c r="B208" s="6" t="s">
        <v>26</v>
      </c>
      <c r="C208" s="6" t="s">
        <v>378</v>
      </c>
      <c r="D208" s="42">
        <v>45536</v>
      </c>
      <c r="E208" s="13" t="str">
        <f t="shared" si="15"/>
        <v>September</v>
      </c>
      <c r="F208" s="13"/>
      <c r="G208" s="13">
        <v>45774</v>
      </c>
      <c r="H208" s="14">
        <f t="shared" si="14"/>
        <v>239</v>
      </c>
      <c r="I208" s="7">
        <v>490359</v>
      </c>
      <c r="J208" s="7">
        <f t="shared" si="11"/>
        <v>321084.38630136987</v>
      </c>
      <c r="K208" s="7">
        <f t="shared" si="12"/>
        <v>16054.219315068494</v>
      </c>
      <c r="L208" s="7">
        <v>5000</v>
      </c>
      <c r="M208" s="7">
        <f t="shared" si="13"/>
        <v>342138.60561643838</v>
      </c>
      <c r="N208" s="16"/>
      <c r="O208" s="15"/>
    </row>
    <row r="209" spans="1:15" ht="15.75" customHeight="1">
      <c r="A209" s="6" t="s">
        <v>64</v>
      </c>
      <c r="B209" s="6" t="s">
        <v>26</v>
      </c>
      <c r="C209" s="6" t="s">
        <v>379</v>
      </c>
      <c r="D209" s="42">
        <v>45536</v>
      </c>
      <c r="E209" s="13" t="str">
        <f t="shared" si="15"/>
        <v>September</v>
      </c>
      <c r="F209" s="13"/>
      <c r="G209" s="13">
        <v>45774</v>
      </c>
      <c r="H209" s="14">
        <f t="shared" si="14"/>
        <v>239</v>
      </c>
      <c r="I209" s="7">
        <v>490359</v>
      </c>
      <c r="J209" s="7">
        <f t="shared" si="11"/>
        <v>321084.38630136987</v>
      </c>
      <c r="K209" s="7">
        <f t="shared" si="12"/>
        <v>16054.219315068494</v>
      </c>
      <c r="L209" s="7">
        <v>5000</v>
      </c>
      <c r="M209" s="7">
        <f t="shared" si="13"/>
        <v>342138.60561643838</v>
      </c>
      <c r="N209" s="16"/>
      <c r="O209" s="15"/>
    </row>
    <row r="210" spans="1:15" ht="15.75" customHeight="1">
      <c r="A210" s="6" t="s">
        <v>64</v>
      </c>
      <c r="B210" s="6" t="s">
        <v>26</v>
      </c>
      <c r="C210" s="6" t="s">
        <v>380</v>
      </c>
      <c r="D210" s="42">
        <v>45536</v>
      </c>
      <c r="E210" s="13" t="str">
        <f t="shared" si="15"/>
        <v>September</v>
      </c>
      <c r="F210" s="13"/>
      <c r="G210" s="13">
        <v>45774</v>
      </c>
      <c r="H210" s="14">
        <f t="shared" si="14"/>
        <v>239</v>
      </c>
      <c r="I210" s="7">
        <v>490359</v>
      </c>
      <c r="J210" s="7">
        <f t="shared" si="11"/>
        <v>321084.38630136987</v>
      </c>
      <c r="K210" s="7">
        <f t="shared" si="12"/>
        <v>16054.219315068494</v>
      </c>
      <c r="L210" s="7">
        <v>5000</v>
      </c>
      <c r="M210" s="7">
        <f t="shared" si="13"/>
        <v>342138.60561643838</v>
      </c>
      <c r="N210" s="16"/>
      <c r="O210" s="15"/>
    </row>
    <row r="211" spans="1:15" ht="15.75" customHeight="1">
      <c r="A211" s="6" t="s">
        <v>64</v>
      </c>
      <c r="B211" s="6" t="s">
        <v>26</v>
      </c>
      <c r="C211" s="6" t="s">
        <v>381</v>
      </c>
      <c r="D211" s="42">
        <v>45536</v>
      </c>
      <c r="E211" s="13" t="str">
        <f t="shared" si="15"/>
        <v>September</v>
      </c>
      <c r="F211" s="13"/>
      <c r="G211" s="13">
        <v>45774</v>
      </c>
      <c r="H211" s="14">
        <f t="shared" si="14"/>
        <v>239</v>
      </c>
      <c r="I211" s="7">
        <v>490359</v>
      </c>
      <c r="J211" s="7">
        <f t="shared" si="11"/>
        <v>321084.38630136987</v>
      </c>
      <c r="K211" s="7">
        <f t="shared" si="12"/>
        <v>16054.219315068494</v>
      </c>
      <c r="L211" s="7">
        <v>5000</v>
      </c>
      <c r="M211" s="7">
        <f t="shared" si="13"/>
        <v>342138.60561643838</v>
      </c>
      <c r="N211" s="16"/>
      <c r="O211" s="15"/>
    </row>
    <row r="212" spans="1:15" ht="15.75" customHeight="1">
      <c r="A212" s="6" t="s">
        <v>64</v>
      </c>
      <c r="B212" s="6" t="s">
        <v>26</v>
      </c>
      <c r="C212" s="6" t="s">
        <v>382</v>
      </c>
      <c r="D212" s="42">
        <v>45536</v>
      </c>
      <c r="E212" s="13" t="str">
        <f t="shared" si="15"/>
        <v>September</v>
      </c>
      <c r="F212" s="13"/>
      <c r="G212" s="13">
        <v>45774</v>
      </c>
      <c r="H212" s="14">
        <f t="shared" si="14"/>
        <v>239</v>
      </c>
      <c r="I212" s="7">
        <v>490359</v>
      </c>
      <c r="J212" s="7">
        <f t="shared" si="11"/>
        <v>321084.38630136987</v>
      </c>
      <c r="K212" s="7">
        <f t="shared" si="12"/>
        <v>16054.219315068494</v>
      </c>
      <c r="L212" s="7">
        <v>5000</v>
      </c>
      <c r="M212" s="7">
        <f t="shared" si="13"/>
        <v>342138.60561643838</v>
      </c>
      <c r="N212" s="16"/>
      <c r="O212" s="15"/>
    </row>
    <row r="213" spans="1:15" ht="15.75" customHeight="1">
      <c r="A213" s="6" t="s">
        <v>64</v>
      </c>
      <c r="B213" s="6" t="s">
        <v>26</v>
      </c>
      <c r="C213" s="6" t="s">
        <v>383</v>
      </c>
      <c r="D213" s="42">
        <v>45536</v>
      </c>
      <c r="E213" s="13" t="str">
        <f t="shared" si="15"/>
        <v>September</v>
      </c>
      <c r="F213" s="13"/>
      <c r="G213" s="13">
        <v>45774</v>
      </c>
      <c r="H213" s="14">
        <f t="shared" si="14"/>
        <v>239</v>
      </c>
      <c r="I213" s="7">
        <v>1020717</v>
      </c>
      <c r="J213" s="7">
        <f t="shared" si="11"/>
        <v>668359.89863013697</v>
      </c>
      <c r="K213" s="7">
        <f t="shared" si="12"/>
        <v>33417.994931506852</v>
      </c>
      <c r="L213" s="7">
        <v>15000</v>
      </c>
      <c r="M213" s="7">
        <f t="shared" si="13"/>
        <v>716777.89356164378</v>
      </c>
      <c r="N213" s="16"/>
      <c r="O213" s="15"/>
    </row>
    <row r="214" spans="1:15" ht="15.75" customHeight="1">
      <c r="A214" s="6" t="s">
        <v>64</v>
      </c>
      <c r="B214" s="6" t="s">
        <v>26</v>
      </c>
      <c r="C214" s="6" t="s">
        <v>384</v>
      </c>
      <c r="D214" s="42">
        <v>45536</v>
      </c>
      <c r="E214" s="13" t="str">
        <f t="shared" si="15"/>
        <v>September</v>
      </c>
      <c r="F214" s="13"/>
      <c r="G214" s="13">
        <v>45774</v>
      </c>
      <c r="H214" s="14">
        <f t="shared" si="14"/>
        <v>239</v>
      </c>
      <c r="I214" s="7">
        <v>1020717</v>
      </c>
      <c r="J214" s="7">
        <f t="shared" si="11"/>
        <v>668359.89863013697</v>
      </c>
      <c r="K214" s="7">
        <f t="shared" si="12"/>
        <v>33417.994931506852</v>
      </c>
      <c r="L214" s="7">
        <v>15000</v>
      </c>
      <c r="M214" s="7">
        <f t="shared" si="13"/>
        <v>716777.89356164378</v>
      </c>
      <c r="N214" s="16"/>
      <c r="O214" s="15"/>
    </row>
    <row r="215" spans="1:15" ht="15.75" customHeight="1">
      <c r="A215" s="6" t="s">
        <v>64</v>
      </c>
      <c r="B215" s="6" t="s">
        <v>26</v>
      </c>
      <c r="C215" s="6" t="s">
        <v>385</v>
      </c>
      <c r="D215" s="42">
        <v>45536</v>
      </c>
      <c r="E215" s="13" t="str">
        <f t="shared" si="15"/>
        <v>September</v>
      </c>
      <c r="F215" s="13"/>
      <c r="G215" s="13">
        <v>45774</v>
      </c>
      <c r="H215" s="14">
        <f t="shared" si="14"/>
        <v>239</v>
      </c>
      <c r="I215" s="7">
        <v>1020717</v>
      </c>
      <c r="J215" s="7">
        <f t="shared" si="11"/>
        <v>668359.89863013697</v>
      </c>
      <c r="K215" s="7">
        <f t="shared" si="12"/>
        <v>33417.994931506852</v>
      </c>
      <c r="L215" s="7">
        <v>15000</v>
      </c>
      <c r="M215" s="7">
        <f t="shared" si="13"/>
        <v>716777.89356164378</v>
      </c>
      <c r="N215" s="16"/>
      <c r="O215" s="15"/>
    </row>
    <row r="216" spans="1:15" ht="15.75" customHeight="1">
      <c r="A216" s="6" t="s">
        <v>64</v>
      </c>
      <c r="B216" s="6" t="s">
        <v>26</v>
      </c>
      <c r="C216" s="6" t="s">
        <v>386</v>
      </c>
      <c r="D216" s="42">
        <v>45536</v>
      </c>
      <c r="E216" s="13" t="str">
        <f t="shared" si="15"/>
        <v>September</v>
      </c>
      <c r="F216" s="13"/>
      <c r="G216" s="13">
        <v>45774</v>
      </c>
      <c r="H216" s="14">
        <f t="shared" si="14"/>
        <v>239</v>
      </c>
      <c r="I216" s="7">
        <v>393139</v>
      </c>
      <c r="J216" s="7">
        <f t="shared" si="11"/>
        <v>257425.26301369863</v>
      </c>
      <c r="K216" s="7">
        <f t="shared" si="12"/>
        <v>12871.263150684932</v>
      </c>
      <c r="L216" s="7">
        <v>5000</v>
      </c>
      <c r="M216" s="7">
        <f t="shared" si="13"/>
        <v>275296.52616438357</v>
      </c>
      <c r="N216" s="16"/>
      <c r="O216" s="15"/>
    </row>
    <row r="217" spans="1:15" ht="15.75" customHeight="1">
      <c r="A217" s="6" t="s">
        <v>64</v>
      </c>
      <c r="B217" s="6" t="s">
        <v>26</v>
      </c>
      <c r="C217" s="6" t="s">
        <v>387</v>
      </c>
      <c r="D217" s="42">
        <v>45536</v>
      </c>
      <c r="E217" s="13" t="str">
        <f t="shared" si="15"/>
        <v>September</v>
      </c>
      <c r="F217" s="13"/>
      <c r="G217" s="13">
        <v>45774</v>
      </c>
      <c r="H217" s="14">
        <f t="shared" si="14"/>
        <v>239</v>
      </c>
      <c r="I217" s="7">
        <v>137219</v>
      </c>
      <c r="J217" s="7">
        <f t="shared" si="11"/>
        <v>89850.24931506849</v>
      </c>
      <c r="K217" s="7">
        <f t="shared" si="12"/>
        <v>4492.5124657534243</v>
      </c>
      <c r="L217" s="7">
        <v>5000</v>
      </c>
      <c r="M217" s="7">
        <f t="shared" si="13"/>
        <v>99342.761780821907</v>
      </c>
      <c r="N217" s="16"/>
      <c r="O217" s="15"/>
    </row>
    <row r="218" spans="1:15" ht="15.75" customHeight="1">
      <c r="A218" s="6" t="s">
        <v>339</v>
      </c>
      <c r="B218" s="6" t="s">
        <v>26</v>
      </c>
      <c r="C218" s="6" t="s">
        <v>388</v>
      </c>
      <c r="D218" s="42">
        <v>45534</v>
      </c>
      <c r="E218" s="13" t="str">
        <f t="shared" si="15"/>
        <v>August</v>
      </c>
      <c r="F218" s="13"/>
      <c r="G218" s="13">
        <v>45848</v>
      </c>
      <c r="H218" s="14">
        <f t="shared" si="14"/>
        <v>315</v>
      </c>
      <c r="I218" s="7">
        <v>180609</v>
      </c>
      <c r="J218" s="7">
        <f t="shared" si="11"/>
        <v>155868.04109589042</v>
      </c>
      <c r="K218" s="7">
        <f t="shared" si="12"/>
        <v>7793.402054794522</v>
      </c>
      <c r="L218" s="7">
        <v>5000</v>
      </c>
      <c r="M218" s="7">
        <f t="shared" si="13"/>
        <v>168661.44315068494</v>
      </c>
      <c r="N218" s="16"/>
      <c r="O218" s="15"/>
    </row>
    <row r="219" spans="1:15" ht="15.75" customHeight="1">
      <c r="A219" s="6" t="s">
        <v>339</v>
      </c>
      <c r="B219" s="6" t="s">
        <v>26</v>
      </c>
      <c r="C219" s="6" t="s">
        <v>389</v>
      </c>
      <c r="D219" s="42">
        <v>45534</v>
      </c>
      <c r="E219" s="13" t="str">
        <f t="shared" si="15"/>
        <v>August</v>
      </c>
      <c r="F219" s="13"/>
      <c r="G219" s="13">
        <v>45848</v>
      </c>
      <c r="H219" s="14">
        <f t="shared" si="14"/>
        <v>315</v>
      </c>
      <c r="I219" s="7">
        <v>180609</v>
      </c>
      <c r="J219" s="7">
        <f t="shared" si="11"/>
        <v>155868.04109589042</v>
      </c>
      <c r="K219" s="7">
        <f t="shared" si="12"/>
        <v>7793.402054794522</v>
      </c>
      <c r="L219" s="7">
        <v>5000</v>
      </c>
      <c r="M219" s="7">
        <f t="shared" si="13"/>
        <v>168661.44315068494</v>
      </c>
      <c r="N219" s="16"/>
      <c r="O219" s="15"/>
    </row>
    <row r="220" spans="1:15" ht="15.75" customHeight="1">
      <c r="A220" s="6" t="s">
        <v>120</v>
      </c>
      <c r="B220" s="6" t="s">
        <v>52</v>
      </c>
      <c r="C220" s="6" t="s">
        <v>390</v>
      </c>
      <c r="D220" s="42">
        <v>45538</v>
      </c>
      <c r="E220" s="13" t="str">
        <f t="shared" si="15"/>
        <v>September</v>
      </c>
      <c r="F220" s="13"/>
      <c r="G220" s="13">
        <v>45859</v>
      </c>
      <c r="H220" s="14">
        <f t="shared" si="14"/>
        <v>322</v>
      </c>
      <c r="I220" s="7">
        <v>2308541</v>
      </c>
      <c r="J220" s="7">
        <f t="shared" si="11"/>
        <v>2036575.895890411</v>
      </c>
      <c r="K220" s="7">
        <f t="shared" si="12"/>
        <v>101828.79479452055</v>
      </c>
      <c r="L220" s="7">
        <v>20000</v>
      </c>
      <c r="M220" s="7">
        <f t="shared" si="13"/>
        <v>2158404.6906849314</v>
      </c>
      <c r="N220" s="16"/>
      <c r="O220" s="15"/>
    </row>
    <row r="221" spans="1:15" ht="15.75" customHeight="1">
      <c r="A221" s="6" t="s">
        <v>391</v>
      </c>
      <c r="B221" s="6" t="s">
        <v>22</v>
      </c>
      <c r="C221" s="6" t="s">
        <v>392</v>
      </c>
      <c r="D221" s="42">
        <v>45539</v>
      </c>
      <c r="E221" s="13" t="str">
        <f t="shared" si="15"/>
        <v>September</v>
      </c>
      <c r="F221" s="13"/>
      <c r="G221" s="13">
        <v>45876</v>
      </c>
      <c r="H221" s="14">
        <f t="shared" si="14"/>
        <v>338</v>
      </c>
      <c r="I221" s="7">
        <v>875443</v>
      </c>
      <c r="J221" s="7">
        <f t="shared" si="11"/>
        <v>810684.20273972605</v>
      </c>
      <c r="K221" s="7">
        <f t="shared" si="12"/>
        <v>40534.210136986308</v>
      </c>
      <c r="L221" s="7">
        <v>30000</v>
      </c>
      <c r="M221" s="7">
        <f t="shared" si="13"/>
        <v>881218.41287671239</v>
      </c>
      <c r="N221" s="16"/>
      <c r="O221" s="15"/>
    </row>
    <row r="222" spans="1:15" ht="15.75" customHeight="1">
      <c r="A222" s="6" t="s">
        <v>391</v>
      </c>
      <c r="B222" s="6" t="s">
        <v>22</v>
      </c>
      <c r="C222" s="6" t="s">
        <v>393</v>
      </c>
      <c r="D222" s="42">
        <v>45539</v>
      </c>
      <c r="E222" s="13" t="str">
        <f t="shared" si="15"/>
        <v>September</v>
      </c>
      <c r="F222" s="13"/>
      <c r="G222" s="13">
        <v>45876</v>
      </c>
      <c r="H222" s="14">
        <f t="shared" si="14"/>
        <v>338</v>
      </c>
      <c r="I222" s="7">
        <v>875443</v>
      </c>
      <c r="J222" s="7">
        <f t="shared" si="11"/>
        <v>810684.20273972605</v>
      </c>
      <c r="K222" s="7">
        <f t="shared" si="12"/>
        <v>40534.210136986308</v>
      </c>
      <c r="L222" s="7">
        <v>70000</v>
      </c>
      <c r="M222" s="7">
        <f t="shared" si="13"/>
        <v>921218.41287671239</v>
      </c>
      <c r="N222" s="16"/>
      <c r="O222" s="15"/>
    </row>
    <row r="223" spans="1:15" ht="15.75" customHeight="1">
      <c r="A223" s="6" t="s">
        <v>391</v>
      </c>
      <c r="B223" s="6" t="s">
        <v>22</v>
      </c>
      <c r="C223" s="6" t="s">
        <v>394</v>
      </c>
      <c r="D223" s="42">
        <v>45539</v>
      </c>
      <c r="E223" s="13" t="str">
        <f t="shared" si="15"/>
        <v>September</v>
      </c>
      <c r="F223" s="13"/>
      <c r="G223" s="13">
        <v>45876</v>
      </c>
      <c r="H223" s="14">
        <f t="shared" si="14"/>
        <v>338</v>
      </c>
      <c r="I223" s="7">
        <v>875443</v>
      </c>
      <c r="J223" s="7">
        <f t="shared" si="11"/>
        <v>810684.20273972605</v>
      </c>
      <c r="K223" s="7">
        <f t="shared" si="12"/>
        <v>40534.210136986308</v>
      </c>
      <c r="L223" s="7">
        <v>50000</v>
      </c>
      <c r="M223" s="7">
        <f t="shared" si="13"/>
        <v>901218.41287671239</v>
      </c>
      <c r="N223" s="16"/>
      <c r="O223" s="15"/>
    </row>
    <row r="224" spans="1:15" ht="15.75" customHeight="1">
      <c r="A224" s="6" t="s">
        <v>391</v>
      </c>
      <c r="B224" s="6" t="s">
        <v>22</v>
      </c>
      <c r="C224" s="6" t="s">
        <v>395</v>
      </c>
      <c r="D224" s="42">
        <v>45538</v>
      </c>
      <c r="E224" s="13" t="str">
        <f t="shared" si="15"/>
        <v>September</v>
      </c>
      <c r="F224" s="13"/>
      <c r="G224" s="13">
        <v>45876</v>
      </c>
      <c r="H224" s="14">
        <f t="shared" si="14"/>
        <v>339</v>
      </c>
      <c r="I224" s="7">
        <v>875443</v>
      </c>
      <c r="J224" s="7">
        <f t="shared" si="11"/>
        <v>813082.6767123288</v>
      </c>
      <c r="K224" s="7">
        <f t="shared" si="12"/>
        <v>40654.133835616442</v>
      </c>
      <c r="L224" s="7">
        <v>10000</v>
      </c>
      <c r="M224" s="7">
        <f t="shared" si="13"/>
        <v>863736.81054794521</v>
      </c>
      <c r="N224" s="16"/>
      <c r="O224" s="15"/>
    </row>
    <row r="225" spans="1:15" ht="15.75" customHeight="1">
      <c r="A225" s="6"/>
      <c r="B225" s="6"/>
      <c r="C225" s="6"/>
      <c r="D225" s="42"/>
      <c r="E225" s="13"/>
      <c r="F225" s="13"/>
      <c r="G225" s="13"/>
      <c r="H225" s="14"/>
      <c r="I225" s="7"/>
      <c r="J225" s="7"/>
      <c r="K225" s="7"/>
      <c r="L225" s="7"/>
      <c r="M225" s="7"/>
      <c r="N225" s="16"/>
      <c r="O225" s="15"/>
    </row>
    <row r="226" spans="1:15" ht="15.75" customHeight="1">
      <c r="A226" s="6"/>
      <c r="B226" s="6"/>
      <c r="C226" s="6"/>
      <c r="D226" s="42"/>
      <c r="E226" s="13"/>
      <c r="F226" s="13"/>
      <c r="G226" s="13"/>
      <c r="H226" s="14"/>
      <c r="I226" s="7"/>
      <c r="J226" s="7"/>
      <c r="K226" s="7"/>
      <c r="L226" s="7"/>
      <c r="M226" s="7"/>
      <c r="N226" s="16"/>
      <c r="O226" s="15"/>
    </row>
    <row r="227" spans="1:15" ht="15.75" customHeight="1">
      <c r="A227" s="6"/>
      <c r="B227" s="6"/>
      <c r="C227" s="6"/>
      <c r="D227" s="42"/>
      <c r="E227" s="13"/>
      <c r="F227" s="13"/>
      <c r="G227" s="13"/>
      <c r="H227" s="14"/>
      <c r="I227" s="7"/>
      <c r="J227" s="7"/>
      <c r="K227" s="7"/>
      <c r="L227" s="7"/>
      <c r="M227" s="7"/>
      <c r="N227" s="16"/>
      <c r="O227" s="15"/>
    </row>
    <row r="228" spans="1:15" ht="15.75" customHeight="1">
      <c r="A228" s="6"/>
      <c r="B228" s="6"/>
      <c r="C228" s="6"/>
      <c r="D228" s="42"/>
      <c r="E228" s="13"/>
      <c r="F228" s="13"/>
      <c r="G228" s="13"/>
      <c r="H228" s="14"/>
      <c r="I228" s="7"/>
      <c r="J228" s="7"/>
      <c r="K228" s="7"/>
      <c r="L228" s="7"/>
      <c r="M228" s="7"/>
      <c r="N228" s="16"/>
      <c r="O228" s="15"/>
    </row>
    <row r="229" spans="1:15" ht="15.75" customHeight="1">
      <c r="A229" s="6"/>
      <c r="B229" s="6"/>
      <c r="C229" s="6"/>
      <c r="D229" s="42"/>
      <c r="E229" s="13"/>
      <c r="F229" s="13"/>
      <c r="G229" s="13"/>
      <c r="H229" s="14"/>
      <c r="I229" s="7"/>
      <c r="J229" s="7"/>
      <c r="K229" s="7"/>
      <c r="L229" s="7"/>
      <c r="M229" s="7"/>
      <c r="N229" s="16"/>
      <c r="O229" s="15"/>
    </row>
    <row r="230" spans="1:15" ht="15.75" customHeight="1">
      <c r="A230" s="6"/>
      <c r="B230" s="6"/>
      <c r="C230" s="6"/>
      <c r="D230" s="42"/>
      <c r="E230" s="13"/>
      <c r="F230" s="13"/>
      <c r="G230" s="13"/>
      <c r="H230" s="14"/>
      <c r="I230" s="7"/>
      <c r="J230" s="7"/>
      <c r="K230" s="7"/>
      <c r="L230" s="7"/>
      <c r="M230" s="7"/>
      <c r="N230" s="16"/>
      <c r="O230" s="15"/>
    </row>
    <row r="231" spans="1:15" ht="15.75" customHeight="1">
      <c r="A231" s="6"/>
      <c r="B231" s="6"/>
      <c r="C231" s="6"/>
      <c r="D231" s="42"/>
      <c r="E231" s="13"/>
      <c r="F231" s="13"/>
      <c r="G231" s="13"/>
      <c r="H231" s="14"/>
      <c r="I231" s="7"/>
      <c r="J231" s="7"/>
      <c r="K231" s="7"/>
      <c r="L231" s="7"/>
      <c r="M231" s="7"/>
      <c r="N231" s="16"/>
      <c r="O231" s="15"/>
    </row>
    <row r="232" spans="1:15" ht="15.75" customHeight="1">
      <c r="A232" s="6"/>
      <c r="B232" s="6"/>
      <c r="C232" s="6"/>
      <c r="D232" s="42"/>
      <c r="E232" s="13"/>
      <c r="F232" s="13"/>
      <c r="G232" s="13"/>
      <c r="H232" s="14"/>
      <c r="I232" s="7"/>
      <c r="J232" s="7"/>
      <c r="K232" s="7"/>
      <c r="L232" s="7"/>
      <c r="M232" s="7"/>
      <c r="N232" s="16"/>
      <c r="O232" s="15"/>
    </row>
    <row r="233" spans="1:15" ht="15.75" customHeight="1">
      <c r="A233" s="1" t="s">
        <v>396</v>
      </c>
      <c r="B233" s="1"/>
      <c r="C233" s="1"/>
      <c r="D233" s="3"/>
      <c r="E233" s="1"/>
      <c r="F233" s="1"/>
      <c r="G233" s="1"/>
      <c r="H233" s="2"/>
      <c r="I233" s="2">
        <f>SUM(I2:I75)</f>
        <v>102489161.602</v>
      </c>
      <c r="J233" s="2">
        <f>SUM(J2:J75)</f>
        <v>91843663.459534079</v>
      </c>
      <c r="K233" s="2">
        <f>SUM(K2:K75)</f>
        <v>4592183.1729767164</v>
      </c>
      <c r="L233" s="2">
        <f>SUM(L2:L77)</f>
        <v>732000</v>
      </c>
      <c r="M233" s="2">
        <f>SUM(M2:M104)</f>
        <v>179085458.48601791</v>
      </c>
    </row>
    <row r="234" spans="1:15" ht="15.75" customHeight="1">
      <c r="J234" s="15"/>
    </row>
    <row r="235" spans="1:15" ht="15.75" customHeight="1">
      <c r="J235" s="15"/>
    </row>
    <row r="236" spans="1:15" ht="15.75" customHeight="1">
      <c r="J236" s="15"/>
    </row>
    <row r="237" spans="1:15" ht="15.75" customHeight="1">
      <c r="J237" s="15"/>
    </row>
    <row r="238" spans="1:15" ht="15.75" customHeight="1">
      <c r="J238" s="15"/>
    </row>
    <row r="239" spans="1:15" ht="15.75" customHeight="1">
      <c r="J239" s="15"/>
    </row>
    <row r="240" spans="1:15" ht="15.75" customHeight="1">
      <c r="J240" s="15"/>
    </row>
    <row r="241" spans="10:10" ht="15.75" customHeight="1">
      <c r="J241" s="15"/>
    </row>
    <row r="242" spans="10:10" ht="15.75" customHeight="1">
      <c r="J242" s="15"/>
    </row>
    <row r="243" spans="10:10" ht="15.75" customHeight="1">
      <c r="J243" s="15"/>
    </row>
    <row r="244" spans="10:10" ht="15.75" customHeight="1">
      <c r="J244" s="15"/>
    </row>
    <row r="245" spans="10:10" ht="15.75" customHeight="1">
      <c r="J245" s="15"/>
    </row>
    <row r="246" spans="10:10" ht="15.75" customHeight="1">
      <c r="J246" s="15"/>
    </row>
    <row r="247" spans="10:10" ht="15.75" customHeight="1">
      <c r="J247" s="15"/>
    </row>
    <row r="248" spans="10:10" ht="15.75" customHeight="1">
      <c r="J248" s="15"/>
    </row>
    <row r="249" spans="10:10" ht="15.75" customHeight="1">
      <c r="J249" s="15"/>
    </row>
    <row r="250" spans="10:10" ht="15.75" customHeight="1">
      <c r="J250" s="15"/>
    </row>
    <row r="251" spans="10:10" ht="15.75" customHeight="1">
      <c r="J251" s="15"/>
    </row>
    <row r="252" spans="10:10" ht="15.75" customHeight="1">
      <c r="J252" s="15"/>
    </row>
    <row r="253" spans="10:10" ht="15.75" customHeight="1">
      <c r="J253" s="15"/>
    </row>
    <row r="254" spans="10:10" ht="15.75" customHeight="1">
      <c r="J254" s="15"/>
    </row>
    <row r="255" spans="10:10" ht="15.75" customHeight="1">
      <c r="J255" s="15"/>
    </row>
    <row r="256" spans="10:10" ht="15.75" customHeight="1">
      <c r="J256" s="15"/>
    </row>
    <row r="257" spans="10:10" ht="15.75" customHeight="1">
      <c r="J257" s="15"/>
    </row>
    <row r="258" spans="10:10" ht="15.75" customHeight="1">
      <c r="J258" s="15"/>
    </row>
    <row r="259" spans="10:10" ht="15.75" customHeight="1">
      <c r="J259" s="15"/>
    </row>
    <row r="260" spans="10:10" ht="15.75" customHeight="1">
      <c r="J260" s="15"/>
    </row>
    <row r="261" spans="10:10" ht="15.75" customHeight="1">
      <c r="J261" s="15"/>
    </row>
    <row r="262" spans="10:10" ht="15.75" customHeight="1">
      <c r="J262" s="15"/>
    </row>
    <row r="263" spans="10:10" ht="15.75" customHeight="1">
      <c r="J263" s="15"/>
    </row>
    <row r="264" spans="10:10" ht="15.75" customHeight="1">
      <c r="J264" s="15"/>
    </row>
    <row r="265" spans="10:10" ht="15.75" customHeight="1">
      <c r="J265" s="15"/>
    </row>
    <row r="266" spans="10:10" ht="15.75" customHeight="1">
      <c r="J266" s="15"/>
    </row>
    <row r="267" spans="10:10" ht="15.75" customHeight="1">
      <c r="J267" s="15"/>
    </row>
    <row r="268" spans="10:10" ht="15.75" customHeight="1">
      <c r="J268" s="15"/>
    </row>
    <row r="269" spans="10:10" ht="15.75" customHeight="1">
      <c r="J269" s="15"/>
    </row>
    <row r="270" spans="10:10" ht="15.75" customHeight="1">
      <c r="J270" s="15"/>
    </row>
    <row r="271" spans="10:10" ht="15.75" customHeight="1">
      <c r="J271" s="15"/>
    </row>
    <row r="272" spans="10:10" ht="15.75" customHeight="1">
      <c r="J272" s="15"/>
    </row>
    <row r="273" spans="10:10" ht="15.75" customHeight="1">
      <c r="J273" s="15"/>
    </row>
    <row r="274" spans="10:10" ht="15.75" customHeight="1">
      <c r="J274" s="15"/>
    </row>
    <row r="275" spans="10:10" ht="15.75" customHeight="1">
      <c r="J275" s="15"/>
    </row>
    <row r="276" spans="10:10" ht="15.75" customHeight="1">
      <c r="J276" s="15"/>
    </row>
    <row r="277" spans="10:10" ht="15.75" customHeight="1">
      <c r="J277" s="15"/>
    </row>
    <row r="278" spans="10:10" ht="15.75" customHeight="1">
      <c r="J278" s="15"/>
    </row>
    <row r="279" spans="10:10" ht="15.75" customHeight="1">
      <c r="J279" s="15"/>
    </row>
    <row r="280" spans="10:10" ht="15.75" customHeight="1">
      <c r="J280" s="15"/>
    </row>
    <row r="281" spans="10:10" ht="15.75" customHeight="1">
      <c r="J281" s="15"/>
    </row>
    <row r="282" spans="10:10" ht="15.75" customHeight="1">
      <c r="J282" s="15"/>
    </row>
    <row r="283" spans="10:10" ht="15.75" customHeight="1">
      <c r="J283" s="15"/>
    </row>
    <row r="284" spans="10:10" ht="15.75" customHeight="1">
      <c r="J284" s="15"/>
    </row>
    <row r="285" spans="10:10" ht="15.75" customHeight="1">
      <c r="J285" s="15"/>
    </row>
    <row r="286" spans="10:10" ht="15.75" customHeight="1">
      <c r="J286" s="15"/>
    </row>
    <row r="287" spans="10:10" ht="15.75" customHeight="1">
      <c r="J287" s="15"/>
    </row>
    <row r="288" spans="10:10" ht="15.75" customHeight="1">
      <c r="J288" s="15"/>
    </row>
    <row r="289" spans="10:10" ht="15.75" customHeight="1">
      <c r="J289" s="15"/>
    </row>
    <row r="290" spans="10:10" ht="15.75" customHeight="1">
      <c r="J290" s="15"/>
    </row>
    <row r="291" spans="10:10" ht="15.75" customHeight="1">
      <c r="J291" s="15"/>
    </row>
    <row r="292" spans="10:10" ht="15.75" customHeight="1">
      <c r="J292" s="15"/>
    </row>
    <row r="293" spans="10:10" ht="15.75" customHeight="1">
      <c r="J293" s="15"/>
    </row>
    <row r="294" spans="10:10" ht="15.75" customHeight="1">
      <c r="J294" s="15"/>
    </row>
    <row r="295" spans="10:10" ht="15.75" customHeight="1">
      <c r="J295" s="15"/>
    </row>
    <row r="296" spans="10:10" ht="15.75" customHeight="1">
      <c r="J296" s="15"/>
    </row>
    <row r="297" spans="10:10" ht="15.75" customHeight="1">
      <c r="J297" s="15"/>
    </row>
    <row r="298" spans="10:10" ht="15.75" customHeight="1">
      <c r="J298" s="15"/>
    </row>
    <row r="299" spans="10:10" ht="15.75" customHeight="1">
      <c r="J299" s="15"/>
    </row>
    <row r="300" spans="10:10" ht="15.75" customHeight="1">
      <c r="J300" s="15"/>
    </row>
    <row r="301" spans="10:10" ht="15.75" customHeight="1">
      <c r="J301" s="15"/>
    </row>
    <row r="302" spans="10:10" ht="15.75" customHeight="1">
      <c r="J302" s="15"/>
    </row>
    <row r="303" spans="10:10" ht="15.75" customHeight="1">
      <c r="J303" s="15"/>
    </row>
    <row r="304" spans="10:10" ht="15.75" customHeight="1">
      <c r="J304" s="15"/>
    </row>
    <row r="305" spans="10:10" ht="15.75" customHeight="1">
      <c r="J305" s="15"/>
    </row>
    <row r="306" spans="10:10" ht="15.75" customHeight="1">
      <c r="J306" s="15"/>
    </row>
    <row r="307" spans="10:10" ht="15.75" customHeight="1">
      <c r="J307" s="15"/>
    </row>
    <row r="308" spans="10:10" ht="15.75" customHeight="1">
      <c r="J308" s="15"/>
    </row>
    <row r="309" spans="10:10" ht="15.75" customHeight="1">
      <c r="J309" s="15"/>
    </row>
    <row r="310" spans="10:10" ht="15.75" customHeight="1">
      <c r="J310" s="15"/>
    </row>
    <row r="311" spans="10:10" ht="15.75" customHeight="1">
      <c r="J311" s="15"/>
    </row>
    <row r="312" spans="10:10" ht="15.75" customHeight="1">
      <c r="J312" s="15"/>
    </row>
    <row r="313" spans="10:10" ht="15.75" customHeight="1">
      <c r="J313" s="15"/>
    </row>
    <row r="314" spans="10:10" ht="15.75" customHeight="1">
      <c r="J314" s="15"/>
    </row>
    <row r="315" spans="10:10" ht="15.75" customHeight="1">
      <c r="J315" s="15"/>
    </row>
    <row r="316" spans="10:10" ht="15.75" customHeight="1">
      <c r="J316" s="15"/>
    </row>
    <row r="317" spans="10:10" ht="15.75" customHeight="1">
      <c r="J317" s="15"/>
    </row>
    <row r="318" spans="10:10" ht="15.75" customHeight="1">
      <c r="J318" s="15"/>
    </row>
    <row r="319" spans="10:10" ht="15.75" customHeight="1">
      <c r="J319" s="15"/>
    </row>
    <row r="320" spans="10:10" ht="15.75" customHeight="1">
      <c r="J320" s="15"/>
    </row>
    <row r="321" spans="10:10" ht="15.75" customHeight="1">
      <c r="J321" s="15"/>
    </row>
    <row r="322" spans="10:10" ht="15.75" customHeight="1">
      <c r="J322" s="15"/>
    </row>
    <row r="323" spans="10:10" ht="15.75" customHeight="1">
      <c r="J323" s="15"/>
    </row>
    <row r="324" spans="10:10" ht="15.75" customHeight="1">
      <c r="J324" s="15"/>
    </row>
    <row r="325" spans="10:10" ht="15.75" customHeight="1">
      <c r="J325" s="15"/>
    </row>
    <row r="326" spans="10:10" ht="15.75" customHeight="1">
      <c r="J326" s="15"/>
    </row>
    <row r="327" spans="10:10" ht="15.75" customHeight="1">
      <c r="J327" s="15"/>
    </row>
    <row r="328" spans="10:10" ht="15.75" customHeight="1">
      <c r="J328" s="15"/>
    </row>
    <row r="329" spans="10:10" ht="15.75" customHeight="1">
      <c r="J329" s="15"/>
    </row>
    <row r="330" spans="10:10" ht="15.75" customHeight="1">
      <c r="J330" s="15"/>
    </row>
    <row r="331" spans="10:10" ht="15.75" customHeight="1">
      <c r="J331" s="15"/>
    </row>
    <row r="332" spans="10:10" ht="15.75" customHeight="1">
      <c r="J332" s="15"/>
    </row>
    <row r="333" spans="10:10" ht="15.75" customHeight="1">
      <c r="J333" s="15"/>
    </row>
    <row r="334" spans="10:10" ht="15.75" customHeight="1">
      <c r="J334" s="15"/>
    </row>
    <row r="335" spans="10:10" ht="15.75" customHeight="1">
      <c r="J335" s="15"/>
    </row>
    <row r="336" spans="10:10" ht="15.75" customHeight="1">
      <c r="J336" s="15"/>
    </row>
    <row r="337" spans="10:10" ht="15.75" customHeight="1">
      <c r="J337" s="15"/>
    </row>
    <row r="338" spans="10:10" ht="15.75" customHeight="1">
      <c r="J338" s="15"/>
    </row>
    <row r="339" spans="10:10" ht="15.75" customHeight="1">
      <c r="J339" s="15"/>
    </row>
    <row r="340" spans="10:10" ht="15.75" customHeight="1">
      <c r="J340" s="15"/>
    </row>
    <row r="341" spans="10:10" ht="15.75" customHeight="1">
      <c r="J341" s="15"/>
    </row>
    <row r="342" spans="10:10" ht="15.75" customHeight="1">
      <c r="J342" s="15"/>
    </row>
    <row r="343" spans="10:10" ht="15.75" customHeight="1">
      <c r="J343" s="15"/>
    </row>
    <row r="344" spans="10:10" ht="15.75" customHeight="1">
      <c r="J344" s="15"/>
    </row>
    <row r="345" spans="10:10" ht="15.75" customHeight="1">
      <c r="J345" s="15"/>
    </row>
    <row r="346" spans="10:10" ht="15.75" customHeight="1">
      <c r="J346" s="15"/>
    </row>
    <row r="347" spans="10:10" ht="15.75" customHeight="1">
      <c r="J347" s="15"/>
    </row>
    <row r="348" spans="10:10" ht="15.75" customHeight="1">
      <c r="J348" s="15"/>
    </row>
    <row r="349" spans="10:10" ht="15.75" customHeight="1">
      <c r="J349" s="15"/>
    </row>
    <row r="350" spans="10:10" ht="15.75" customHeight="1">
      <c r="J350" s="15"/>
    </row>
    <row r="351" spans="10:10" ht="15.75" customHeight="1">
      <c r="J351" s="15"/>
    </row>
    <row r="352" spans="10:10" ht="15.75" customHeight="1">
      <c r="J352" s="15"/>
    </row>
    <row r="353" spans="10:10" ht="15.75" customHeight="1">
      <c r="J353" s="15"/>
    </row>
    <row r="354" spans="10:10" ht="15.75" customHeight="1">
      <c r="J354" s="15"/>
    </row>
    <row r="355" spans="10:10" ht="15.75" customHeight="1">
      <c r="J355" s="15"/>
    </row>
    <row r="356" spans="10:10" ht="15.75" customHeight="1">
      <c r="J356" s="15"/>
    </row>
    <row r="357" spans="10:10" ht="15.75" customHeight="1">
      <c r="J357" s="15"/>
    </row>
    <row r="358" spans="10:10" ht="15.75" customHeight="1">
      <c r="J358" s="15"/>
    </row>
    <row r="359" spans="10:10" ht="15.75" customHeight="1">
      <c r="J359" s="15"/>
    </row>
    <row r="360" spans="10:10" ht="15.75" customHeight="1">
      <c r="J360" s="15"/>
    </row>
    <row r="361" spans="10:10" ht="15.75" customHeight="1">
      <c r="J361" s="15"/>
    </row>
    <row r="362" spans="10:10" ht="15.75" customHeight="1">
      <c r="J362" s="15"/>
    </row>
    <row r="363" spans="10:10" ht="15.75" customHeight="1">
      <c r="J363" s="15"/>
    </row>
    <row r="364" spans="10:10" ht="15.75" customHeight="1">
      <c r="J364" s="15"/>
    </row>
    <row r="365" spans="10:10" ht="15.75" customHeight="1">
      <c r="J365" s="15"/>
    </row>
    <row r="366" spans="10:10" ht="15.75" customHeight="1">
      <c r="J366" s="15"/>
    </row>
    <row r="367" spans="10:10" ht="15.75" customHeight="1">
      <c r="J367" s="15"/>
    </row>
    <row r="368" spans="10:10" ht="15.75" customHeight="1">
      <c r="J368" s="15"/>
    </row>
    <row r="369" spans="10:10" ht="15.75" customHeight="1">
      <c r="J369" s="15"/>
    </row>
    <row r="370" spans="10:10" ht="15.75" customHeight="1">
      <c r="J370" s="15"/>
    </row>
    <row r="371" spans="10:10" ht="15.75" customHeight="1">
      <c r="J371" s="15"/>
    </row>
    <row r="372" spans="10:10" ht="15.75" customHeight="1">
      <c r="J372" s="15"/>
    </row>
    <row r="373" spans="10:10" ht="15.75" customHeight="1">
      <c r="J373" s="15"/>
    </row>
    <row r="374" spans="10:10" ht="15.75" customHeight="1">
      <c r="J374" s="15"/>
    </row>
    <row r="375" spans="10:10" ht="15.75" customHeight="1">
      <c r="J375" s="15"/>
    </row>
    <row r="376" spans="10:10" ht="15.75" customHeight="1">
      <c r="J376" s="15"/>
    </row>
    <row r="377" spans="10:10" ht="15.75" customHeight="1">
      <c r="J377" s="15"/>
    </row>
    <row r="378" spans="10:10" ht="15.75" customHeight="1">
      <c r="J378" s="15"/>
    </row>
    <row r="379" spans="10:10" ht="15.75" customHeight="1">
      <c r="J379" s="15"/>
    </row>
    <row r="380" spans="10:10" ht="15.75" customHeight="1">
      <c r="J380" s="15"/>
    </row>
    <row r="381" spans="10:10" ht="15.75" customHeight="1">
      <c r="J381" s="15"/>
    </row>
    <row r="382" spans="10:10" ht="15.75" customHeight="1">
      <c r="J382" s="15"/>
    </row>
    <row r="383" spans="10:10" ht="15.75" customHeight="1">
      <c r="J383" s="15"/>
    </row>
    <row r="384" spans="10:10" ht="15.75" customHeight="1">
      <c r="J384" s="15"/>
    </row>
    <row r="385" spans="10:10" ht="15.75" customHeight="1">
      <c r="J385" s="15"/>
    </row>
    <row r="386" spans="10:10" ht="15.75" customHeight="1">
      <c r="J386" s="15"/>
    </row>
    <row r="387" spans="10:10" ht="15.75" customHeight="1">
      <c r="J387" s="15"/>
    </row>
    <row r="388" spans="10:10" ht="15.75" customHeight="1">
      <c r="J388" s="15"/>
    </row>
    <row r="389" spans="10:10" ht="15.75" customHeight="1">
      <c r="J389" s="15"/>
    </row>
    <row r="390" spans="10:10" ht="15.75" customHeight="1">
      <c r="J390" s="15"/>
    </row>
    <row r="391" spans="10:10" ht="15.75" customHeight="1">
      <c r="J391" s="15"/>
    </row>
    <row r="392" spans="10:10" ht="15.75" customHeight="1">
      <c r="J392" s="15"/>
    </row>
    <row r="393" spans="10:10" ht="15.75" customHeight="1">
      <c r="J393" s="15"/>
    </row>
    <row r="394" spans="10:10" ht="15.75" customHeight="1">
      <c r="J394" s="15"/>
    </row>
    <row r="395" spans="10:10" ht="15.75" customHeight="1">
      <c r="J395" s="15"/>
    </row>
    <row r="396" spans="10:10" ht="15.75" customHeight="1">
      <c r="J396" s="15"/>
    </row>
    <row r="397" spans="10:10" ht="15.75" customHeight="1">
      <c r="J397" s="15"/>
    </row>
    <row r="398" spans="10:10" ht="15.75" customHeight="1">
      <c r="J398" s="15"/>
    </row>
    <row r="399" spans="10:10" ht="15.75" customHeight="1">
      <c r="J399" s="15"/>
    </row>
    <row r="400" spans="10:10" ht="15.75" customHeight="1">
      <c r="J400" s="15"/>
    </row>
    <row r="401" spans="10:10" ht="15.75" customHeight="1">
      <c r="J401" s="15"/>
    </row>
    <row r="402" spans="10:10" ht="15.75" customHeight="1">
      <c r="J402" s="15"/>
    </row>
    <row r="403" spans="10:10" ht="15.75" customHeight="1">
      <c r="J403" s="15"/>
    </row>
    <row r="404" spans="10:10" ht="15.75" customHeight="1">
      <c r="J404" s="15"/>
    </row>
    <row r="405" spans="10:10" ht="15.75" customHeight="1">
      <c r="J405" s="15"/>
    </row>
    <row r="406" spans="10:10" ht="15.75" customHeight="1">
      <c r="J406" s="15"/>
    </row>
    <row r="407" spans="10:10" ht="15.75" customHeight="1">
      <c r="J407" s="15"/>
    </row>
    <row r="408" spans="10:10" ht="15.75" customHeight="1">
      <c r="J408" s="15"/>
    </row>
    <row r="409" spans="10:10" ht="15.75" customHeight="1">
      <c r="J409" s="15"/>
    </row>
    <row r="410" spans="10:10" ht="15.75" customHeight="1">
      <c r="J410" s="15"/>
    </row>
    <row r="411" spans="10:10" ht="15.75" customHeight="1">
      <c r="J411" s="15"/>
    </row>
    <row r="412" spans="10:10" ht="15.75" customHeight="1">
      <c r="J412" s="15"/>
    </row>
    <row r="413" spans="10:10" ht="15.75" customHeight="1">
      <c r="J413" s="15"/>
    </row>
    <row r="414" spans="10:10" ht="15.75" customHeight="1">
      <c r="J414" s="15"/>
    </row>
    <row r="415" spans="10:10" ht="15.75" customHeight="1">
      <c r="J415" s="15"/>
    </row>
    <row r="416" spans="10:10" ht="15.75" customHeight="1">
      <c r="J416" s="15"/>
    </row>
    <row r="417" spans="10:10" ht="15.75" customHeight="1">
      <c r="J417" s="15"/>
    </row>
    <row r="418" spans="10:10" ht="15.75" customHeight="1">
      <c r="J418" s="15"/>
    </row>
    <row r="419" spans="10:10" ht="15.75" customHeight="1">
      <c r="J419" s="15"/>
    </row>
    <row r="420" spans="10:10" ht="15.75" customHeight="1">
      <c r="J420" s="15"/>
    </row>
    <row r="421" spans="10:10" ht="15.75" customHeight="1">
      <c r="J421" s="15"/>
    </row>
    <row r="422" spans="10:10" ht="15.75" customHeight="1">
      <c r="J422" s="15"/>
    </row>
    <row r="423" spans="10:10" ht="15.75" customHeight="1">
      <c r="J423" s="15"/>
    </row>
    <row r="424" spans="10:10" ht="15.75" customHeight="1">
      <c r="J424" s="15"/>
    </row>
    <row r="425" spans="10:10" ht="15.75" customHeight="1">
      <c r="J425" s="15"/>
    </row>
    <row r="426" spans="10:10" ht="15.75" customHeight="1">
      <c r="J426" s="15"/>
    </row>
    <row r="427" spans="10:10" ht="15.75" customHeight="1">
      <c r="J427" s="15"/>
    </row>
    <row r="428" spans="10:10" ht="15.75" customHeight="1">
      <c r="J428" s="15"/>
    </row>
    <row r="429" spans="10:10" ht="15.75" customHeight="1">
      <c r="J429" s="15"/>
    </row>
    <row r="430" spans="10:10" ht="15.75" customHeight="1">
      <c r="J430" s="15"/>
    </row>
    <row r="431" spans="10:10" ht="15.75" customHeight="1">
      <c r="J431" s="15"/>
    </row>
    <row r="432" spans="10:10" ht="15.75" customHeight="1">
      <c r="J432" s="15"/>
    </row>
    <row r="433" spans="10:10" ht="15.75" customHeight="1">
      <c r="J433" s="15"/>
    </row>
    <row r="434" spans="10:10" ht="15.75" customHeight="1">
      <c r="J434" s="15"/>
    </row>
    <row r="435" spans="10:10" ht="15.75" customHeight="1">
      <c r="J435" s="15"/>
    </row>
    <row r="436" spans="10:10" ht="15.75" customHeight="1">
      <c r="J436" s="15"/>
    </row>
    <row r="437" spans="10:10" ht="15.75" customHeight="1">
      <c r="J437" s="15"/>
    </row>
    <row r="438" spans="10:10" ht="15.75" customHeight="1">
      <c r="J438" s="15"/>
    </row>
    <row r="439" spans="10:10" ht="15.75" customHeight="1">
      <c r="J439" s="15"/>
    </row>
    <row r="440" spans="10:10" ht="15.75" customHeight="1">
      <c r="J440" s="15"/>
    </row>
    <row r="441" spans="10:10" ht="15.75" customHeight="1">
      <c r="J441" s="15"/>
    </row>
    <row r="442" spans="10:10" ht="15.75" customHeight="1">
      <c r="J442" s="15"/>
    </row>
    <row r="443" spans="10:10" ht="15.75" customHeight="1">
      <c r="J443" s="15"/>
    </row>
    <row r="444" spans="10:10" ht="15.75" customHeight="1">
      <c r="J444" s="15"/>
    </row>
    <row r="445" spans="10:10" ht="15.75" customHeight="1">
      <c r="J445" s="15"/>
    </row>
    <row r="446" spans="10:10" ht="15.75" customHeight="1">
      <c r="J446" s="15"/>
    </row>
    <row r="447" spans="10:10" ht="15.75" customHeight="1">
      <c r="J447" s="15"/>
    </row>
    <row r="448" spans="10:10" ht="15.75" customHeight="1">
      <c r="J448" s="15"/>
    </row>
    <row r="449" spans="10:10" ht="15.75" customHeight="1">
      <c r="J449" s="15"/>
    </row>
    <row r="450" spans="10:10" ht="15.75" customHeight="1">
      <c r="J450" s="15"/>
    </row>
    <row r="451" spans="10:10" ht="15.75" customHeight="1">
      <c r="J451" s="15"/>
    </row>
    <row r="452" spans="10:10" ht="15.75" customHeight="1">
      <c r="J452" s="15"/>
    </row>
    <row r="453" spans="10:10" ht="15.75" customHeight="1">
      <c r="J453" s="15"/>
    </row>
    <row r="454" spans="10:10" ht="15.75" customHeight="1">
      <c r="J454" s="15"/>
    </row>
    <row r="455" spans="10:10" ht="15.75" customHeight="1">
      <c r="J455" s="15"/>
    </row>
    <row r="456" spans="10:10" ht="15.75" customHeight="1">
      <c r="J456" s="15"/>
    </row>
    <row r="457" spans="10:10" ht="15.75" customHeight="1">
      <c r="J457" s="15"/>
    </row>
    <row r="458" spans="10:10" ht="15.75" customHeight="1">
      <c r="J458" s="15"/>
    </row>
    <row r="459" spans="10:10" ht="15.75" customHeight="1">
      <c r="J459" s="15"/>
    </row>
    <row r="460" spans="10:10" ht="15.75" customHeight="1">
      <c r="J460" s="15"/>
    </row>
    <row r="461" spans="10:10" ht="15.75" customHeight="1">
      <c r="J461" s="15"/>
    </row>
    <row r="462" spans="10:10" ht="15.75" customHeight="1">
      <c r="J462" s="15"/>
    </row>
    <row r="463" spans="10:10" ht="15.75" customHeight="1">
      <c r="J463" s="15"/>
    </row>
    <row r="464" spans="10:10" ht="15.75" customHeight="1">
      <c r="J464" s="15"/>
    </row>
    <row r="465" spans="10:10" ht="15.75" customHeight="1">
      <c r="J465" s="15"/>
    </row>
    <row r="466" spans="10:10" ht="15.75" customHeight="1">
      <c r="J466" s="15"/>
    </row>
    <row r="467" spans="10:10" ht="15.75" customHeight="1">
      <c r="J467" s="15"/>
    </row>
    <row r="468" spans="10:10" ht="15.75" customHeight="1">
      <c r="J468" s="15"/>
    </row>
    <row r="469" spans="10:10" ht="15.75" customHeight="1">
      <c r="J469" s="15"/>
    </row>
    <row r="470" spans="10:10" ht="15.75" customHeight="1">
      <c r="J470" s="15"/>
    </row>
    <row r="471" spans="10:10" ht="15.75" customHeight="1">
      <c r="J471" s="15"/>
    </row>
    <row r="472" spans="10:10" ht="15.75" customHeight="1">
      <c r="J472" s="15"/>
    </row>
    <row r="473" spans="10:10" ht="15.75" customHeight="1">
      <c r="J473" s="15"/>
    </row>
    <row r="474" spans="10:10" ht="15.75" customHeight="1">
      <c r="J474" s="15"/>
    </row>
    <row r="475" spans="10:10" ht="15.75" customHeight="1">
      <c r="J475" s="15"/>
    </row>
    <row r="476" spans="10:10" ht="15.75" customHeight="1">
      <c r="J476" s="15"/>
    </row>
    <row r="477" spans="10:10" ht="15.75" customHeight="1">
      <c r="J477" s="15"/>
    </row>
    <row r="478" spans="10:10" ht="15.75" customHeight="1">
      <c r="J478" s="15"/>
    </row>
    <row r="479" spans="10:10" ht="15.75" customHeight="1">
      <c r="J479" s="15"/>
    </row>
    <row r="480" spans="10:10" ht="15.75" customHeight="1">
      <c r="J480" s="15"/>
    </row>
    <row r="481" spans="10:10" ht="15.75" customHeight="1">
      <c r="J481" s="15"/>
    </row>
    <row r="482" spans="10:10" ht="15.75" customHeight="1">
      <c r="J482" s="15"/>
    </row>
    <row r="483" spans="10:10" ht="15.75" customHeight="1">
      <c r="J483" s="15"/>
    </row>
    <row r="484" spans="10:10" ht="15.75" customHeight="1">
      <c r="J484" s="15"/>
    </row>
    <row r="485" spans="10:10" ht="15.75" customHeight="1">
      <c r="J485" s="15"/>
    </row>
    <row r="486" spans="10:10" ht="15.75" customHeight="1">
      <c r="J486" s="15"/>
    </row>
    <row r="487" spans="10:10" ht="15.75" customHeight="1">
      <c r="J487" s="15"/>
    </row>
    <row r="488" spans="10:10" ht="15.75" customHeight="1">
      <c r="J488" s="15"/>
    </row>
    <row r="489" spans="10:10" ht="15.75" customHeight="1">
      <c r="J489" s="15"/>
    </row>
    <row r="490" spans="10:10" ht="15.75" customHeight="1">
      <c r="J490" s="15"/>
    </row>
    <row r="491" spans="10:10" ht="15.75" customHeight="1">
      <c r="J491" s="15"/>
    </row>
    <row r="492" spans="10:10" ht="15.75" customHeight="1">
      <c r="J492" s="15"/>
    </row>
    <row r="493" spans="10:10" ht="15.75" customHeight="1">
      <c r="J493" s="15"/>
    </row>
    <row r="494" spans="10:10" ht="15.75" customHeight="1">
      <c r="J494" s="15"/>
    </row>
    <row r="495" spans="10:10" ht="15.75" customHeight="1">
      <c r="J495" s="15"/>
    </row>
    <row r="496" spans="10:10" ht="15.75" customHeight="1">
      <c r="J496" s="15"/>
    </row>
    <row r="497" spans="10:10" ht="15.75" customHeight="1">
      <c r="J497" s="15"/>
    </row>
    <row r="498" spans="10:10" ht="15.75" customHeight="1">
      <c r="J498" s="15"/>
    </row>
    <row r="499" spans="10:10" ht="15.75" customHeight="1">
      <c r="J499" s="15"/>
    </row>
    <row r="500" spans="10:10" ht="15.75" customHeight="1">
      <c r="J500" s="15"/>
    </row>
    <row r="501" spans="10:10" ht="15.75" customHeight="1">
      <c r="J501" s="15"/>
    </row>
    <row r="502" spans="10:10" ht="15.75" customHeight="1">
      <c r="J502" s="15"/>
    </row>
    <row r="503" spans="10:10" ht="15.75" customHeight="1">
      <c r="J503" s="15"/>
    </row>
    <row r="504" spans="10:10" ht="15.75" customHeight="1">
      <c r="J504" s="15"/>
    </row>
    <row r="505" spans="10:10" ht="15.75" customHeight="1">
      <c r="J505" s="15"/>
    </row>
    <row r="506" spans="10:10" ht="15.75" customHeight="1">
      <c r="J506" s="15"/>
    </row>
    <row r="507" spans="10:10" ht="15.75" customHeight="1">
      <c r="J507" s="15"/>
    </row>
    <row r="508" spans="10:10" ht="15.75" customHeight="1">
      <c r="J508" s="15"/>
    </row>
    <row r="509" spans="10:10" ht="15.75" customHeight="1">
      <c r="J509" s="15"/>
    </row>
    <row r="510" spans="10:10" ht="15.75" customHeight="1">
      <c r="J510" s="15"/>
    </row>
    <row r="511" spans="10:10" ht="15.75" customHeight="1">
      <c r="J511" s="15"/>
    </row>
    <row r="512" spans="10:10" ht="15.75" customHeight="1">
      <c r="J512" s="15"/>
    </row>
    <row r="513" spans="10:10" ht="15.75" customHeight="1">
      <c r="J513" s="15"/>
    </row>
    <row r="514" spans="10:10" ht="15.75" customHeight="1">
      <c r="J514" s="15"/>
    </row>
    <row r="515" spans="10:10" ht="15.75" customHeight="1">
      <c r="J515" s="15"/>
    </row>
    <row r="516" spans="10:10" ht="15.75" customHeight="1">
      <c r="J516" s="15"/>
    </row>
    <row r="517" spans="10:10" ht="15.75" customHeight="1">
      <c r="J517" s="15"/>
    </row>
    <row r="518" spans="10:10" ht="15.75" customHeight="1">
      <c r="J518" s="15"/>
    </row>
    <row r="519" spans="10:10" ht="15.75" customHeight="1">
      <c r="J519" s="15"/>
    </row>
    <row r="520" spans="10:10" ht="15.75" customHeight="1">
      <c r="J520" s="15"/>
    </row>
    <row r="521" spans="10:10" ht="15.75" customHeight="1">
      <c r="J521" s="15"/>
    </row>
    <row r="522" spans="10:10" ht="15.75" customHeight="1">
      <c r="J522" s="15"/>
    </row>
    <row r="523" spans="10:10" ht="15.75" customHeight="1">
      <c r="J523" s="15"/>
    </row>
    <row r="524" spans="10:10" ht="15.75" customHeight="1">
      <c r="J524" s="15"/>
    </row>
    <row r="525" spans="10:10" ht="15.75" customHeight="1">
      <c r="J525" s="15"/>
    </row>
    <row r="526" spans="10:10" ht="15.75" customHeight="1">
      <c r="J526" s="15"/>
    </row>
    <row r="527" spans="10:10" ht="15.75" customHeight="1">
      <c r="J527" s="15"/>
    </row>
    <row r="528" spans="10:10" ht="15.75" customHeight="1">
      <c r="J528" s="15"/>
    </row>
    <row r="529" spans="10:10" ht="15.75" customHeight="1">
      <c r="J529" s="15"/>
    </row>
    <row r="530" spans="10:10" ht="15.75" customHeight="1">
      <c r="J530" s="15"/>
    </row>
    <row r="531" spans="10:10" ht="15.75" customHeight="1">
      <c r="J531" s="15"/>
    </row>
    <row r="532" spans="10:10" ht="15.75" customHeight="1">
      <c r="J532" s="15"/>
    </row>
    <row r="533" spans="10:10" ht="15.75" customHeight="1">
      <c r="J533" s="15"/>
    </row>
    <row r="534" spans="10:10" ht="15.75" customHeight="1">
      <c r="J534" s="15"/>
    </row>
    <row r="535" spans="10:10" ht="15.75" customHeight="1">
      <c r="J535" s="15"/>
    </row>
    <row r="536" spans="10:10" ht="15.75" customHeight="1">
      <c r="J536" s="15"/>
    </row>
    <row r="537" spans="10:10" ht="15.75" customHeight="1">
      <c r="J537" s="15"/>
    </row>
    <row r="538" spans="10:10" ht="15.75" customHeight="1">
      <c r="J538" s="15"/>
    </row>
    <row r="539" spans="10:10" ht="15.75" customHeight="1">
      <c r="J539" s="15"/>
    </row>
    <row r="540" spans="10:10" ht="15.75" customHeight="1">
      <c r="J540" s="15"/>
    </row>
    <row r="541" spans="10:10" ht="15.75" customHeight="1">
      <c r="J541" s="15"/>
    </row>
    <row r="542" spans="10:10" ht="15.75" customHeight="1">
      <c r="J542" s="15"/>
    </row>
    <row r="543" spans="10:10" ht="15.75" customHeight="1">
      <c r="J543" s="15"/>
    </row>
    <row r="544" spans="10:10" ht="15.75" customHeight="1">
      <c r="J544" s="15"/>
    </row>
    <row r="545" spans="10:10" ht="15.75" customHeight="1">
      <c r="J545" s="15"/>
    </row>
    <row r="546" spans="10:10" ht="15.75" customHeight="1">
      <c r="J546" s="15"/>
    </row>
    <row r="547" spans="10:10" ht="15.75" customHeight="1">
      <c r="J547" s="15"/>
    </row>
    <row r="548" spans="10:10" ht="15.75" customHeight="1">
      <c r="J548" s="15"/>
    </row>
    <row r="549" spans="10:10" ht="15.75" customHeight="1">
      <c r="J549" s="15"/>
    </row>
    <row r="550" spans="10:10" ht="15.75" customHeight="1">
      <c r="J550" s="15"/>
    </row>
    <row r="551" spans="10:10" ht="15.75" customHeight="1">
      <c r="J551" s="15"/>
    </row>
    <row r="552" spans="10:10" ht="15.75" customHeight="1">
      <c r="J552" s="15"/>
    </row>
    <row r="553" spans="10:10" ht="15.75" customHeight="1">
      <c r="J553" s="15"/>
    </row>
    <row r="554" spans="10:10" ht="15.75" customHeight="1">
      <c r="J554" s="15"/>
    </row>
    <row r="555" spans="10:10" ht="15.75" customHeight="1">
      <c r="J555" s="15"/>
    </row>
    <row r="556" spans="10:10" ht="15.75" customHeight="1">
      <c r="J556" s="15"/>
    </row>
    <row r="557" spans="10:10" ht="15.75" customHeight="1">
      <c r="J557" s="15"/>
    </row>
    <row r="558" spans="10:10" ht="15.75" customHeight="1">
      <c r="J558" s="15"/>
    </row>
    <row r="559" spans="10:10" ht="15.75" customHeight="1">
      <c r="J559" s="15"/>
    </row>
    <row r="560" spans="10:10" ht="15.75" customHeight="1">
      <c r="J560" s="15"/>
    </row>
    <row r="561" spans="10:10" ht="15.75" customHeight="1">
      <c r="J561" s="15"/>
    </row>
    <row r="562" spans="10:10" ht="15.75" customHeight="1">
      <c r="J562" s="15"/>
    </row>
    <row r="563" spans="10:10" ht="15.75" customHeight="1">
      <c r="J563" s="15"/>
    </row>
    <row r="564" spans="10:10" ht="15.75" customHeight="1">
      <c r="J564" s="15"/>
    </row>
    <row r="565" spans="10:10" ht="15.75" customHeight="1">
      <c r="J565" s="15"/>
    </row>
    <row r="566" spans="10:10" ht="15.75" customHeight="1">
      <c r="J566" s="15"/>
    </row>
    <row r="567" spans="10:10" ht="15.75" customHeight="1">
      <c r="J567" s="15"/>
    </row>
    <row r="568" spans="10:10" ht="15.75" customHeight="1">
      <c r="J568" s="15"/>
    </row>
    <row r="569" spans="10:10" ht="15.75" customHeight="1">
      <c r="J569" s="15"/>
    </row>
    <row r="570" spans="10:10" ht="15.75" customHeight="1">
      <c r="J570" s="15"/>
    </row>
    <row r="571" spans="10:10" ht="15.75" customHeight="1">
      <c r="J571" s="15"/>
    </row>
    <row r="572" spans="10:10" ht="15.75" customHeight="1">
      <c r="J572" s="15"/>
    </row>
    <row r="573" spans="10:10" ht="15.75" customHeight="1">
      <c r="J573" s="15"/>
    </row>
    <row r="574" spans="10:10" ht="15.75" customHeight="1">
      <c r="J574" s="15"/>
    </row>
    <row r="575" spans="10:10" ht="15.75" customHeight="1">
      <c r="J575" s="15"/>
    </row>
    <row r="576" spans="10:10" ht="15.75" customHeight="1">
      <c r="J576" s="15"/>
    </row>
    <row r="577" spans="10:10" ht="15.75" customHeight="1">
      <c r="J577" s="15"/>
    </row>
    <row r="578" spans="10:10" ht="15.75" customHeight="1">
      <c r="J578" s="15"/>
    </row>
    <row r="579" spans="10:10" ht="15.75" customHeight="1">
      <c r="J579" s="15"/>
    </row>
    <row r="580" spans="10:10" ht="15.75" customHeight="1">
      <c r="J580" s="15"/>
    </row>
    <row r="581" spans="10:10" ht="15.75" customHeight="1">
      <c r="J581" s="15"/>
    </row>
    <row r="582" spans="10:10" ht="15.75" customHeight="1">
      <c r="J582" s="15"/>
    </row>
    <row r="583" spans="10:10" ht="15.75" customHeight="1">
      <c r="J583" s="15"/>
    </row>
    <row r="584" spans="10:10" ht="15.75" customHeight="1">
      <c r="J584" s="15"/>
    </row>
    <row r="585" spans="10:10" ht="15.75" customHeight="1">
      <c r="J585" s="15"/>
    </row>
    <row r="586" spans="10:10" ht="15.75" customHeight="1">
      <c r="J586" s="15"/>
    </row>
    <row r="587" spans="10:10" ht="15.75" customHeight="1">
      <c r="J587" s="15"/>
    </row>
    <row r="588" spans="10:10" ht="15.75" customHeight="1">
      <c r="J588" s="15"/>
    </row>
    <row r="589" spans="10:10" ht="15.75" customHeight="1">
      <c r="J589" s="15"/>
    </row>
    <row r="590" spans="10:10" ht="15.75" customHeight="1">
      <c r="J590" s="15"/>
    </row>
    <row r="591" spans="10:10" ht="15.75" customHeight="1">
      <c r="J591" s="15"/>
    </row>
    <row r="592" spans="10:10" ht="15.75" customHeight="1">
      <c r="J592" s="15"/>
    </row>
    <row r="593" spans="10:10" ht="15.75" customHeight="1">
      <c r="J593" s="15"/>
    </row>
    <row r="594" spans="10:10" ht="15.75" customHeight="1">
      <c r="J594" s="15"/>
    </row>
    <row r="595" spans="10:10" ht="15.75" customHeight="1">
      <c r="J595" s="15"/>
    </row>
    <row r="596" spans="10:10" ht="15.75" customHeight="1">
      <c r="J596" s="15"/>
    </row>
    <row r="597" spans="10:10" ht="15.75" customHeight="1">
      <c r="J597" s="15"/>
    </row>
    <row r="598" spans="10:10" ht="15.75" customHeight="1">
      <c r="J598" s="15"/>
    </row>
    <row r="599" spans="10:10" ht="15.75" customHeight="1">
      <c r="J599" s="15"/>
    </row>
    <row r="600" spans="10:10" ht="15.75" customHeight="1">
      <c r="J600" s="15"/>
    </row>
    <row r="601" spans="10:10" ht="15.75" customHeight="1">
      <c r="J601" s="15"/>
    </row>
    <row r="602" spans="10:10" ht="15.75" customHeight="1">
      <c r="J602" s="15"/>
    </row>
    <row r="603" spans="10:10" ht="15.75" customHeight="1">
      <c r="J603" s="15"/>
    </row>
    <row r="604" spans="10:10" ht="15.75" customHeight="1">
      <c r="J604" s="15"/>
    </row>
    <row r="605" spans="10:10" ht="15.75" customHeight="1">
      <c r="J605" s="15"/>
    </row>
    <row r="606" spans="10:10" ht="15.75" customHeight="1">
      <c r="J606" s="15"/>
    </row>
    <row r="607" spans="10:10" ht="15.75" customHeight="1">
      <c r="J607" s="15"/>
    </row>
    <row r="608" spans="10:10" ht="15.75" customHeight="1">
      <c r="J608" s="15"/>
    </row>
    <row r="609" spans="10:10" ht="15.75" customHeight="1">
      <c r="J609" s="15"/>
    </row>
    <row r="610" spans="10:10" ht="15.75" customHeight="1">
      <c r="J610" s="15"/>
    </row>
    <row r="611" spans="10:10" ht="15.75" customHeight="1">
      <c r="J611" s="15"/>
    </row>
    <row r="612" spans="10:10" ht="15.75" customHeight="1">
      <c r="J612" s="15"/>
    </row>
    <row r="613" spans="10:10" ht="15.75" customHeight="1">
      <c r="J613" s="15"/>
    </row>
    <row r="614" spans="10:10" ht="15.75" customHeight="1">
      <c r="J614" s="15"/>
    </row>
    <row r="615" spans="10:10" ht="15.75" customHeight="1">
      <c r="J615" s="15"/>
    </row>
    <row r="616" spans="10:10" ht="15.75" customHeight="1">
      <c r="J616" s="15"/>
    </row>
    <row r="617" spans="10:10" ht="15.75" customHeight="1">
      <c r="J617" s="15"/>
    </row>
    <row r="618" spans="10:10" ht="15.75" customHeight="1">
      <c r="J618" s="15"/>
    </row>
    <row r="619" spans="10:10" ht="15.75" customHeight="1">
      <c r="J619" s="15"/>
    </row>
    <row r="620" spans="10:10" ht="15.75" customHeight="1">
      <c r="J620" s="15"/>
    </row>
    <row r="621" spans="10:10" ht="15.75" customHeight="1">
      <c r="J621" s="15"/>
    </row>
    <row r="622" spans="10:10" ht="15.75" customHeight="1">
      <c r="J622" s="15"/>
    </row>
    <row r="623" spans="10:10" ht="15.75" customHeight="1">
      <c r="J623" s="15"/>
    </row>
    <row r="624" spans="10:10" ht="15.75" customHeight="1">
      <c r="J624" s="15"/>
    </row>
    <row r="625" spans="10:10" ht="15.75" customHeight="1">
      <c r="J625" s="15"/>
    </row>
    <row r="626" spans="10:10" ht="15.75" customHeight="1">
      <c r="J626" s="15"/>
    </row>
    <row r="627" spans="10:10" ht="15.75" customHeight="1">
      <c r="J627" s="15"/>
    </row>
    <row r="628" spans="10:10" ht="15.75" customHeight="1">
      <c r="J628" s="15"/>
    </row>
    <row r="629" spans="10:10" ht="15.75" customHeight="1">
      <c r="J629" s="15"/>
    </row>
    <row r="630" spans="10:10" ht="15.75" customHeight="1">
      <c r="J630" s="15"/>
    </row>
    <row r="631" spans="10:10" ht="15.75" customHeight="1">
      <c r="J631" s="15"/>
    </row>
    <row r="632" spans="10:10" ht="15.75" customHeight="1">
      <c r="J632" s="15"/>
    </row>
    <row r="633" spans="10:10" ht="15.75" customHeight="1">
      <c r="J633" s="15"/>
    </row>
    <row r="634" spans="10:10" ht="15.75" customHeight="1">
      <c r="J634" s="15"/>
    </row>
    <row r="635" spans="10:10" ht="15.75" customHeight="1">
      <c r="J635" s="15"/>
    </row>
    <row r="636" spans="10:10" ht="15.75" customHeight="1">
      <c r="J636" s="15"/>
    </row>
    <row r="637" spans="10:10" ht="15.75" customHeight="1">
      <c r="J637" s="15"/>
    </row>
    <row r="638" spans="10:10" ht="15.75" customHeight="1">
      <c r="J638" s="15"/>
    </row>
    <row r="639" spans="10:10" ht="15.75" customHeight="1">
      <c r="J639" s="15"/>
    </row>
    <row r="640" spans="10:10" ht="15.75" customHeight="1">
      <c r="J640" s="15"/>
    </row>
    <row r="641" spans="10:10" ht="15.75" customHeight="1">
      <c r="J641" s="15"/>
    </row>
    <row r="642" spans="10:10" ht="15.75" customHeight="1">
      <c r="J642" s="15"/>
    </row>
    <row r="643" spans="10:10" ht="15.75" customHeight="1">
      <c r="J643" s="15"/>
    </row>
    <row r="644" spans="10:10" ht="15.75" customHeight="1">
      <c r="J644" s="15"/>
    </row>
    <row r="645" spans="10:10" ht="15.75" customHeight="1">
      <c r="J645" s="15"/>
    </row>
    <row r="646" spans="10:10" ht="15.75" customHeight="1">
      <c r="J646" s="15"/>
    </row>
    <row r="647" spans="10:10" ht="15.75" customHeight="1">
      <c r="J647" s="15"/>
    </row>
    <row r="648" spans="10:10" ht="15.75" customHeight="1">
      <c r="J648" s="15"/>
    </row>
    <row r="649" spans="10:10" ht="15.75" customHeight="1">
      <c r="J649" s="15"/>
    </row>
    <row r="650" spans="10:10" ht="15.75" customHeight="1">
      <c r="J650" s="15"/>
    </row>
    <row r="651" spans="10:10" ht="15.75" customHeight="1">
      <c r="J651" s="15"/>
    </row>
    <row r="652" spans="10:10" ht="15.75" customHeight="1">
      <c r="J652" s="15"/>
    </row>
    <row r="653" spans="10:10" ht="15.75" customHeight="1">
      <c r="J653" s="15"/>
    </row>
    <row r="654" spans="10:10" ht="15.75" customHeight="1">
      <c r="J654" s="15"/>
    </row>
    <row r="655" spans="10:10" ht="15.75" customHeight="1">
      <c r="J655" s="15"/>
    </row>
    <row r="656" spans="10:10" ht="15.75" customHeight="1">
      <c r="J656" s="15"/>
    </row>
    <row r="657" spans="10:10" ht="15.75" customHeight="1">
      <c r="J657" s="15"/>
    </row>
    <row r="658" spans="10:10" ht="15.75" customHeight="1">
      <c r="J658" s="15"/>
    </row>
    <row r="659" spans="10:10" ht="15.75" customHeight="1">
      <c r="J659" s="15"/>
    </row>
    <row r="660" spans="10:10" ht="15.75" customHeight="1">
      <c r="J660" s="15"/>
    </row>
    <row r="661" spans="10:10" ht="15.75" customHeight="1">
      <c r="J661" s="15"/>
    </row>
    <row r="662" spans="10:10" ht="15.75" customHeight="1">
      <c r="J662" s="15"/>
    </row>
    <row r="663" spans="10:10" ht="15.75" customHeight="1">
      <c r="J663" s="15"/>
    </row>
    <row r="664" spans="10:10" ht="15.75" customHeight="1">
      <c r="J664" s="15"/>
    </row>
    <row r="665" spans="10:10" ht="15.75" customHeight="1">
      <c r="J665" s="15"/>
    </row>
    <row r="666" spans="10:10" ht="15.75" customHeight="1">
      <c r="J666" s="15"/>
    </row>
    <row r="667" spans="10:10" ht="15.75" customHeight="1">
      <c r="J667" s="15"/>
    </row>
    <row r="668" spans="10:10" ht="15.75" customHeight="1">
      <c r="J668" s="15"/>
    </row>
    <row r="669" spans="10:10" ht="15.75" customHeight="1">
      <c r="J669" s="15"/>
    </row>
    <row r="670" spans="10:10" ht="15.75" customHeight="1">
      <c r="J670" s="15"/>
    </row>
    <row r="671" spans="10:10" ht="15.75" customHeight="1">
      <c r="J671" s="15"/>
    </row>
    <row r="672" spans="10:10" ht="15.75" customHeight="1">
      <c r="J672" s="15"/>
    </row>
    <row r="673" spans="10:10" ht="15.75" customHeight="1">
      <c r="J673" s="15"/>
    </row>
    <row r="674" spans="10:10" ht="15.75" customHeight="1">
      <c r="J674" s="15"/>
    </row>
    <row r="675" spans="10:10" ht="15.75" customHeight="1">
      <c r="J675" s="15"/>
    </row>
    <row r="676" spans="10:10" ht="15.75" customHeight="1">
      <c r="J676" s="15"/>
    </row>
    <row r="677" spans="10:10" ht="15.75" customHeight="1">
      <c r="J677" s="15"/>
    </row>
    <row r="678" spans="10:10" ht="15.75" customHeight="1">
      <c r="J678" s="15"/>
    </row>
    <row r="679" spans="10:10" ht="15.75" customHeight="1">
      <c r="J679" s="15"/>
    </row>
    <row r="680" spans="10:10" ht="15.75" customHeight="1">
      <c r="J680" s="15"/>
    </row>
    <row r="681" spans="10:10" ht="15.75" customHeight="1">
      <c r="J681" s="15"/>
    </row>
    <row r="682" spans="10:10" ht="15.75" customHeight="1">
      <c r="J682" s="15"/>
    </row>
    <row r="683" spans="10:10" ht="15.75" customHeight="1">
      <c r="J683" s="15"/>
    </row>
    <row r="684" spans="10:10" ht="15.75" customHeight="1">
      <c r="J684" s="15"/>
    </row>
    <row r="685" spans="10:10" ht="15.75" customHeight="1">
      <c r="J685" s="15"/>
    </row>
    <row r="686" spans="10:10" ht="15.75" customHeight="1">
      <c r="J686" s="15"/>
    </row>
    <row r="687" spans="10:10" ht="15.75" customHeight="1">
      <c r="J687" s="15"/>
    </row>
    <row r="688" spans="10:10" ht="15.75" customHeight="1">
      <c r="J688" s="15"/>
    </row>
    <row r="689" spans="10:10" ht="15.75" customHeight="1">
      <c r="J689" s="15"/>
    </row>
    <row r="690" spans="10:10" ht="15.75" customHeight="1">
      <c r="J690" s="15"/>
    </row>
    <row r="691" spans="10:10" ht="15.75" customHeight="1">
      <c r="J691" s="15"/>
    </row>
    <row r="692" spans="10:10" ht="15.75" customHeight="1">
      <c r="J692" s="15"/>
    </row>
    <row r="693" spans="10:10" ht="15.75" customHeight="1">
      <c r="J693" s="15"/>
    </row>
    <row r="694" spans="10:10" ht="15.75" customHeight="1">
      <c r="J694" s="15"/>
    </row>
    <row r="695" spans="10:10" ht="15.75" customHeight="1">
      <c r="J695" s="15"/>
    </row>
    <row r="696" spans="10:10" ht="15.75" customHeight="1">
      <c r="J696" s="15"/>
    </row>
    <row r="697" spans="10:10" ht="15.75" customHeight="1">
      <c r="J697" s="15"/>
    </row>
    <row r="698" spans="10:10" ht="15.75" customHeight="1">
      <c r="J698" s="15"/>
    </row>
    <row r="699" spans="10:10" ht="15.75" customHeight="1">
      <c r="J699" s="15"/>
    </row>
    <row r="700" spans="10:10" ht="15.75" customHeight="1">
      <c r="J700" s="15"/>
    </row>
    <row r="701" spans="10:10" ht="15.75" customHeight="1">
      <c r="J701" s="15"/>
    </row>
    <row r="702" spans="10:10" ht="15.75" customHeight="1">
      <c r="J702" s="15"/>
    </row>
    <row r="703" spans="10:10" ht="15.75" customHeight="1">
      <c r="J703" s="15"/>
    </row>
    <row r="704" spans="10:10" ht="15.75" customHeight="1">
      <c r="J704" s="15"/>
    </row>
    <row r="705" spans="10:10" ht="15.75" customHeight="1">
      <c r="J705" s="15"/>
    </row>
    <row r="706" spans="10:10" ht="15.75" customHeight="1">
      <c r="J706" s="15"/>
    </row>
    <row r="707" spans="10:10" ht="15.75" customHeight="1">
      <c r="J707" s="15"/>
    </row>
    <row r="708" spans="10:10" ht="15.75" customHeight="1">
      <c r="J708" s="15"/>
    </row>
    <row r="709" spans="10:10" ht="15.75" customHeight="1">
      <c r="J709" s="15"/>
    </row>
    <row r="710" spans="10:10" ht="15.75" customHeight="1">
      <c r="J710" s="15"/>
    </row>
    <row r="711" spans="10:10" ht="15.75" customHeight="1">
      <c r="J711" s="15"/>
    </row>
    <row r="712" spans="10:10" ht="15.75" customHeight="1">
      <c r="J712" s="15"/>
    </row>
    <row r="713" spans="10:10" ht="15.75" customHeight="1">
      <c r="J713" s="15"/>
    </row>
    <row r="714" spans="10:10" ht="15.75" customHeight="1">
      <c r="J714" s="15"/>
    </row>
    <row r="715" spans="10:10" ht="15.75" customHeight="1">
      <c r="J715" s="15"/>
    </row>
    <row r="716" spans="10:10" ht="15.75" customHeight="1">
      <c r="J716" s="15"/>
    </row>
    <row r="717" spans="10:10" ht="15.75" customHeight="1">
      <c r="J717" s="15"/>
    </row>
    <row r="718" spans="10:10" ht="15.75" customHeight="1">
      <c r="J718" s="15"/>
    </row>
    <row r="719" spans="10:10" ht="15.75" customHeight="1">
      <c r="J719" s="15"/>
    </row>
    <row r="720" spans="10:10" ht="15.75" customHeight="1">
      <c r="J720" s="15"/>
    </row>
    <row r="721" spans="10:10" ht="15.75" customHeight="1">
      <c r="J721" s="15"/>
    </row>
    <row r="722" spans="10:10" ht="15.75" customHeight="1">
      <c r="J722" s="15"/>
    </row>
    <row r="723" spans="10:10" ht="15.75" customHeight="1">
      <c r="J723" s="15"/>
    </row>
    <row r="724" spans="10:10" ht="15.75" customHeight="1">
      <c r="J724" s="15"/>
    </row>
    <row r="725" spans="10:10" ht="15.75" customHeight="1">
      <c r="J725" s="15"/>
    </row>
    <row r="726" spans="10:10" ht="15.75" customHeight="1">
      <c r="J726" s="15"/>
    </row>
    <row r="727" spans="10:10" ht="15.75" customHeight="1">
      <c r="J727" s="15"/>
    </row>
    <row r="728" spans="10:10" ht="15.75" customHeight="1">
      <c r="J728" s="15"/>
    </row>
    <row r="729" spans="10:10" ht="15.75" customHeight="1">
      <c r="J729" s="15"/>
    </row>
    <row r="730" spans="10:10" ht="15.75" customHeight="1">
      <c r="J730" s="15"/>
    </row>
    <row r="731" spans="10:10" ht="15.75" customHeight="1">
      <c r="J731" s="15"/>
    </row>
    <row r="732" spans="10:10" ht="15.75" customHeight="1">
      <c r="J732" s="15"/>
    </row>
    <row r="733" spans="10:10" ht="15.75" customHeight="1">
      <c r="J733" s="15"/>
    </row>
    <row r="734" spans="10:10" ht="15.75" customHeight="1">
      <c r="J734" s="15"/>
    </row>
    <row r="735" spans="10:10" ht="15.75" customHeight="1">
      <c r="J735" s="15"/>
    </row>
    <row r="736" spans="10:10" ht="15.75" customHeight="1">
      <c r="J736" s="15"/>
    </row>
    <row r="737" spans="10:10" ht="15.75" customHeight="1">
      <c r="J737" s="15"/>
    </row>
    <row r="738" spans="10:10" ht="15.75" customHeight="1">
      <c r="J738" s="15"/>
    </row>
    <row r="739" spans="10:10" ht="15.75" customHeight="1">
      <c r="J739" s="15"/>
    </row>
    <row r="740" spans="10:10" ht="15.75" customHeight="1">
      <c r="J740" s="15"/>
    </row>
    <row r="741" spans="10:10" ht="15.75" customHeight="1">
      <c r="J741" s="15"/>
    </row>
    <row r="742" spans="10:10" ht="15.75" customHeight="1">
      <c r="J742" s="15"/>
    </row>
    <row r="743" spans="10:10" ht="15.75" customHeight="1">
      <c r="J743" s="15"/>
    </row>
    <row r="744" spans="10:10" ht="15.75" customHeight="1">
      <c r="J744" s="15"/>
    </row>
    <row r="745" spans="10:10" ht="15.75" customHeight="1">
      <c r="J745" s="15"/>
    </row>
    <row r="746" spans="10:10" ht="15.75" customHeight="1">
      <c r="J746" s="15"/>
    </row>
    <row r="747" spans="10:10" ht="15.75" customHeight="1">
      <c r="J747" s="15"/>
    </row>
    <row r="748" spans="10:10" ht="15.75" customHeight="1">
      <c r="J748" s="15"/>
    </row>
    <row r="749" spans="10:10" ht="15.75" customHeight="1">
      <c r="J749" s="15"/>
    </row>
    <row r="750" spans="10:10" ht="15.75" customHeight="1">
      <c r="J750" s="15"/>
    </row>
    <row r="751" spans="10:10" ht="15.75" customHeight="1">
      <c r="J751" s="15"/>
    </row>
    <row r="752" spans="10:10" ht="15.75" customHeight="1">
      <c r="J752" s="15"/>
    </row>
    <row r="753" spans="10:10" ht="15.75" customHeight="1">
      <c r="J753" s="15"/>
    </row>
    <row r="754" spans="10:10" ht="15.75" customHeight="1">
      <c r="J754" s="15"/>
    </row>
    <row r="755" spans="10:10" ht="15.75" customHeight="1">
      <c r="J755" s="15"/>
    </row>
    <row r="756" spans="10:10" ht="15.75" customHeight="1">
      <c r="J756" s="15"/>
    </row>
    <row r="757" spans="10:10" ht="15.75" customHeight="1">
      <c r="J757" s="15"/>
    </row>
    <row r="758" spans="10:10" ht="15.75" customHeight="1">
      <c r="J758" s="15"/>
    </row>
    <row r="759" spans="10:10" ht="15.75" customHeight="1">
      <c r="J759" s="15"/>
    </row>
    <row r="760" spans="10:10" ht="15.75" customHeight="1">
      <c r="J760" s="15"/>
    </row>
    <row r="761" spans="10:10" ht="15.75" customHeight="1">
      <c r="J761" s="15"/>
    </row>
    <row r="762" spans="10:10" ht="15.75" customHeight="1">
      <c r="J762" s="15"/>
    </row>
    <row r="763" spans="10:10" ht="15.75" customHeight="1">
      <c r="J763" s="15"/>
    </row>
    <row r="764" spans="10:10" ht="15.75" customHeight="1">
      <c r="J764" s="15"/>
    </row>
    <row r="765" spans="10:10" ht="15.75" customHeight="1">
      <c r="J765" s="15"/>
    </row>
    <row r="766" spans="10:10" ht="15.75" customHeight="1">
      <c r="J766" s="15"/>
    </row>
    <row r="767" spans="10:10" ht="15.75" customHeight="1">
      <c r="J767" s="15"/>
    </row>
    <row r="768" spans="10:10" ht="15.75" customHeight="1">
      <c r="J768" s="15"/>
    </row>
    <row r="769" spans="10:10" ht="15.75" customHeight="1">
      <c r="J769" s="15"/>
    </row>
    <row r="770" spans="10:10" ht="15.75" customHeight="1">
      <c r="J770" s="15"/>
    </row>
    <row r="771" spans="10:10" ht="15.75" customHeight="1">
      <c r="J771" s="15"/>
    </row>
    <row r="772" spans="10:10" ht="15.75" customHeight="1">
      <c r="J772" s="15"/>
    </row>
    <row r="773" spans="10:10" ht="15.75" customHeight="1">
      <c r="J773" s="15"/>
    </row>
    <row r="774" spans="10:10" ht="15.75" customHeight="1">
      <c r="J774" s="15"/>
    </row>
    <row r="775" spans="10:10" ht="15.75" customHeight="1">
      <c r="J775" s="15"/>
    </row>
    <row r="776" spans="10:10" ht="15.75" customHeight="1">
      <c r="J776" s="15"/>
    </row>
    <row r="777" spans="10:10" ht="15.75" customHeight="1">
      <c r="J777" s="15"/>
    </row>
    <row r="778" spans="10:10" ht="15.75" customHeight="1">
      <c r="J778" s="15"/>
    </row>
    <row r="779" spans="10:10" ht="15.75" customHeight="1">
      <c r="J779" s="15"/>
    </row>
    <row r="780" spans="10:10" ht="15.75" customHeight="1">
      <c r="J780" s="15"/>
    </row>
    <row r="781" spans="10:10" ht="15.75" customHeight="1">
      <c r="J781" s="15"/>
    </row>
    <row r="782" spans="10:10" ht="15.75" customHeight="1">
      <c r="J782" s="15"/>
    </row>
    <row r="783" spans="10:10" ht="15.75" customHeight="1">
      <c r="J783" s="15"/>
    </row>
    <row r="784" spans="10:10" ht="15.75" customHeight="1">
      <c r="J784" s="15"/>
    </row>
    <row r="785" spans="10:10" ht="15.75" customHeight="1">
      <c r="J785" s="15"/>
    </row>
    <row r="786" spans="10:10" ht="15.75" customHeight="1">
      <c r="J786" s="15"/>
    </row>
    <row r="787" spans="10:10" ht="15.75" customHeight="1">
      <c r="J787" s="15"/>
    </row>
    <row r="788" spans="10:10" ht="15.75" customHeight="1">
      <c r="J788" s="15"/>
    </row>
    <row r="789" spans="10:10" ht="15.75" customHeight="1">
      <c r="J789" s="15"/>
    </row>
    <row r="790" spans="10:10" ht="15.75" customHeight="1">
      <c r="J790" s="15"/>
    </row>
    <row r="791" spans="10:10" ht="15.75" customHeight="1">
      <c r="J791" s="15"/>
    </row>
    <row r="792" spans="10:10" ht="15.75" customHeight="1">
      <c r="J792" s="15"/>
    </row>
    <row r="793" spans="10:10" ht="15.75" customHeight="1">
      <c r="J793" s="15"/>
    </row>
    <row r="794" spans="10:10" ht="15.75" customHeight="1">
      <c r="J794" s="15"/>
    </row>
    <row r="795" spans="10:10" ht="15.75" customHeight="1">
      <c r="J795" s="15"/>
    </row>
    <row r="796" spans="10:10" ht="15.75" customHeight="1">
      <c r="J796" s="15"/>
    </row>
    <row r="797" spans="10:10" ht="15.75" customHeight="1">
      <c r="J797" s="15"/>
    </row>
    <row r="798" spans="10:10" ht="15.75" customHeight="1">
      <c r="J798" s="15"/>
    </row>
    <row r="799" spans="10:10" ht="15.75" customHeight="1">
      <c r="J799" s="15"/>
    </row>
    <row r="800" spans="10:10" ht="15.75" customHeight="1">
      <c r="J800" s="15"/>
    </row>
    <row r="801" spans="10:10" ht="15.75" customHeight="1">
      <c r="J801" s="15"/>
    </row>
    <row r="802" spans="10:10" ht="15.75" customHeight="1">
      <c r="J802" s="15"/>
    </row>
    <row r="803" spans="10:10" ht="15.75" customHeight="1">
      <c r="J803" s="15"/>
    </row>
    <row r="804" spans="10:10" ht="15.75" customHeight="1">
      <c r="J804" s="15"/>
    </row>
    <row r="805" spans="10:10" ht="15.75" customHeight="1">
      <c r="J805" s="15"/>
    </row>
    <row r="806" spans="10:10" ht="15.75" customHeight="1">
      <c r="J806" s="15"/>
    </row>
    <row r="807" spans="10:10" ht="15.75" customHeight="1">
      <c r="J807" s="15"/>
    </row>
    <row r="808" spans="10:10" ht="15.75" customHeight="1">
      <c r="J808" s="15"/>
    </row>
    <row r="809" spans="10:10" ht="15.75" customHeight="1">
      <c r="J809" s="15"/>
    </row>
    <row r="810" spans="10:10" ht="15.75" customHeight="1">
      <c r="J810" s="15"/>
    </row>
    <row r="811" spans="10:10" ht="15.75" customHeight="1">
      <c r="J811" s="15"/>
    </row>
    <row r="812" spans="10:10" ht="15.75" customHeight="1">
      <c r="J812" s="15"/>
    </row>
    <row r="813" spans="10:10" ht="15.75" customHeight="1">
      <c r="J813" s="15"/>
    </row>
    <row r="814" spans="10:10" ht="15.75" customHeight="1">
      <c r="J814" s="15"/>
    </row>
    <row r="815" spans="10:10" ht="15.75" customHeight="1">
      <c r="J815" s="15"/>
    </row>
    <row r="816" spans="10:10" ht="15.75" customHeight="1">
      <c r="J816" s="15"/>
    </row>
    <row r="817" spans="10:10" ht="15.75" customHeight="1">
      <c r="J817" s="15"/>
    </row>
    <row r="818" spans="10:10" ht="15.75" customHeight="1">
      <c r="J818" s="15"/>
    </row>
    <row r="819" spans="10:10" ht="15.75" customHeight="1">
      <c r="J819" s="15"/>
    </row>
    <row r="820" spans="10:10" ht="15.75" customHeight="1">
      <c r="J820" s="15"/>
    </row>
    <row r="821" spans="10:10" ht="15.75" customHeight="1">
      <c r="J821" s="15"/>
    </row>
    <row r="822" spans="10:10" ht="15.75" customHeight="1">
      <c r="J822" s="15"/>
    </row>
    <row r="823" spans="10:10" ht="15.75" customHeight="1">
      <c r="J823" s="15"/>
    </row>
    <row r="824" spans="10:10" ht="15.75" customHeight="1">
      <c r="J824" s="15"/>
    </row>
    <row r="825" spans="10:10" ht="15.75" customHeight="1">
      <c r="J825" s="15"/>
    </row>
    <row r="826" spans="10:10" ht="15.75" customHeight="1">
      <c r="J826" s="15"/>
    </row>
    <row r="827" spans="10:10" ht="15.75" customHeight="1">
      <c r="J827" s="15"/>
    </row>
    <row r="828" spans="10:10" ht="15.75" customHeight="1">
      <c r="J828" s="15"/>
    </row>
    <row r="829" spans="10:10" ht="15.75" customHeight="1">
      <c r="J829" s="15"/>
    </row>
    <row r="830" spans="10:10" ht="15.75" customHeight="1">
      <c r="J830" s="15"/>
    </row>
    <row r="831" spans="10:10" ht="15.75" customHeight="1">
      <c r="J831" s="15"/>
    </row>
    <row r="832" spans="10:10" ht="15.75" customHeight="1">
      <c r="J832" s="15"/>
    </row>
    <row r="833" spans="10:10" ht="15.75" customHeight="1">
      <c r="J833" s="15"/>
    </row>
    <row r="834" spans="10:10" ht="15.75" customHeight="1">
      <c r="J834" s="15"/>
    </row>
    <row r="835" spans="10:10" ht="15.75" customHeight="1">
      <c r="J835" s="15"/>
    </row>
    <row r="836" spans="10:10" ht="15.75" customHeight="1">
      <c r="J836" s="15"/>
    </row>
    <row r="837" spans="10:10" ht="15.75" customHeight="1">
      <c r="J837" s="15"/>
    </row>
    <row r="838" spans="10:10" ht="15.75" customHeight="1">
      <c r="J838" s="15"/>
    </row>
    <row r="839" spans="10:10" ht="15.75" customHeight="1">
      <c r="J839" s="15"/>
    </row>
    <row r="840" spans="10:10" ht="15.75" customHeight="1">
      <c r="J840" s="15"/>
    </row>
    <row r="841" spans="10:10" ht="15.75" customHeight="1">
      <c r="J841" s="15"/>
    </row>
    <row r="842" spans="10:10" ht="15.75" customHeight="1">
      <c r="J842" s="15"/>
    </row>
    <row r="843" spans="10:10" ht="15.75" customHeight="1">
      <c r="J843" s="15"/>
    </row>
    <row r="844" spans="10:10" ht="15.75" customHeight="1">
      <c r="J844" s="15"/>
    </row>
    <row r="845" spans="10:10" ht="15.75" customHeight="1">
      <c r="J845" s="15"/>
    </row>
    <row r="846" spans="10:10" ht="15.75" customHeight="1">
      <c r="J846" s="15"/>
    </row>
    <row r="847" spans="10:10" ht="15.75" customHeight="1">
      <c r="J847" s="15"/>
    </row>
    <row r="848" spans="10:10" ht="15.75" customHeight="1">
      <c r="J848" s="15"/>
    </row>
    <row r="849" spans="10:10" ht="15.75" customHeight="1">
      <c r="J849" s="15"/>
    </row>
    <row r="850" spans="10:10" ht="15.75" customHeight="1">
      <c r="J850" s="15"/>
    </row>
    <row r="851" spans="10:10" ht="15.75" customHeight="1">
      <c r="J851" s="15"/>
    </row>
    <row r="852" spans="10:10" ht="15.75" customHeight="1">
      <c r="J852" s="15"/>
    </row>
    <row r="853" spans="10:10" ht="15.75" customHeight="1">
      <c r="J853" s="15"/>
    </row>
    <row r="854" spans="10:10" ht="15.75" customHeight="1">
      <c r="J854" s="15"/>
    </row>
    <row r="855" spans="10:10" ht="15.75" customHeight="1">
      <c r="J855" s="15"/>
    </row>
    <row r="856" spans="10:10" ht="15.75" customHeight="1">
      <c r="J856" s="15"/>
    </row>
    <row r="857" spans="10:10" ht="15.75" customHeight="1">
      <c r="J857" s="15"/>
    </row>
    <row r="858" spans="10:10" ht="15.75" customHeight="1">
      <c r="J858" s="15"/>
    </row>
    <row r="859" spans="10:10" ht="15.75" customHeight="1">
      <c r="J859" s="15"/>
    </row>
    <row r="860" spans="10:10" ht="15.75" customHeight="1">
      <c r="J860" s="15"/>
    </row>
    <row r="861" spans="10:10" ht="15.75" customHeight="1">
      <c r="J861" s="15"/>
    </row>
    <row r="862" spans="10:10" ht="15.75" customHeight="1">
      <c r="J862" s="15"/>
    </row>
    <row r="863" spans="10:10" ht="15.75" customHeight="1">
      <c r="J863" s="15"/>
    </row>
    <row r="864" spans="10:10" ht="15.75" customHeight="1">
      <c r="J864" s="15"/>
    </row>
    <row r="865" spans="10:10" ht="15.75" customHeight="1">
      <c r="J865" s="15"/>
    </row>
    <row r="866" spans="10:10" ht="15.75" customHeight="1">
      <c r="J866" s="15"/>
    </row>
    <row r="867" spans="10:10" ht="15.75" customHeight="1">
      <c r="J867" s="15"/>
    </row>
    <row r="868" spans="10:10" ht="15.75" customHeight="1">
      <c r="J868" s="15"/>
    </row>
    <row r="869" spans="10:10" ht="15.75" customHeight="1">
      <c r="J869" s="15"/>
    </row>
    <row r="870" spans="10:10" ht="15.75" customHeight="1">
      <c r="J870" s="15"/>
    </row>
    <row r="871" spans="10:10" ht="15.75" customHeight="1">
      <c r="J871" s="15"/>
    </row>
    <row r="872" spans="10:10" ht="15.75" customHeight="1">
      <c r="J872" s="15"/>
    </row>
    <row r="873" spans="10:10" ht="15.75" customHeight="1">
      <c r="J873" s="15"/>
    </row>
    <row r="874" spans="10:10" ht="15.75" customHeight="1">
      <c r="J874" s="15"/>
    </row>
    <row r="875" spans="10:10" ht="15.75" customHeight="1">
      <c r="J875" s="15"/>
    </row>
    <row r="876" spans="10:10" ht="15.75" customHeight="1">
      <c r="J876" s="15"/>
    </row>
    <row r="877" spans="10:10" ht="15.75" customHeight="1">
      <c r="J877" s="15"/>
    </row>
    <row r="878" spans="10:10" ht="15.75" customHeight="1">
      <c r="J878" s="15"/>
    </row>
    <row r="879" spans="10:10" ht="15.75" customHeight="1">
      <c r="J879" s="15"/>
    </row>
    <row r="880" spans="10:10" ht="15.75" customHeight="1">
      <c r="J880" s="15"/>
    </row>
    <row r="881" spans="10:10" ht="15.75" customHeight="1">
      <c r="J881" s="15"/>
    </row>
    <row r="882" spans="10:10" ht="15.75" customHeight="1">
      <c r="J882" s="15"/>
    </row>
    <row r="883" spans="10:10" ht="15.75" customHeight="1">
      <c r="J883" s="15"/>
    </row>
    <row r="884" spans="10:10" ht="15.75" customHeight="1">
      <c r="J884" s="15"/>
    </row>
    <row r="885" spans="10:10" ht="15.75" customHeight="1">
      <c r="J885" s="15"/>
    </row>
    <row r="886" spans="10:10" ht="15.75" customHeight="1">
      <c r="J886" s="15"/>
    </row>
    <row r="887" spans="10:10" ht="15.75" customHeight="1">
      <c r="J887" s="15"/>
    </row>
    <row r="888" spans="10:10" ht="15.75" customHeight="1">
      <c r="J888" s="15"/>
    </row>
    <row r="889" spans="10:10" ht="15.75" customHeight="1">
      <c r="J889" s="15"/>
    </row>
    <row r="890" spans="10:10" ht="15.75" customHeight="1">
      <c r="J890" s="15"/>
    </row>
    <row r="891" spans="10:10" ht="15.75" customHeight="1">
      <c r="J891" s="15"/>
    </row>
    <row r="892" spans="10:10" ht="15.75" customHeight="1">
      <c r="J892" s="15"/>
    </row>
    <row r="893" spans="10:10" ht="15.75" customHeight="1">
      <c r="J893" s="15"/>
    </row>
    <row r="894" spans="10:10" ht="15.75" customHeight="1">
      <c r="J894" s="15"/>
    </row>
    <row r="895" spans="10:10" ht="15.75" customHeight="1">
      <c r="J895" s="15"/>
    </row>
    <row r="896" spans="10:10" ht="15.75" customHeight="1">
      <c r="J896" s="15"/>
    </row>
    <row r="897" spans="10:10" ht="15.75" customHeight="1">
      <c r="J897" s="15"/>
    </row>
    <row r="898" spans="10:10" ht="15.75" customHeight="1">
      <c r="J898" s="15"/>
    </row>
    <row r="899" spans="10:10" ht="15.75" customHeight="1">
      <c r="J899" s="15"/>
    </row>
    <row r="900" spans="10:10" ht="15.75" customHeight="1">
      <c r="J900" s="15"/>
    </row>
    <row r="901" spans="10:10" ht="15.75" customHeight="1">
      <c r="J901" s="15"/>
    </row>
    <row r="902" spans="10:10" ht="15.75" customHeight="1">
      <c r="J902" s="15"/>
    </row>
    <row r="903" spans="10:10" ht="15.75" customHeight="1">
      <c r="J903" s="15"/>
    </row>
    <row r="904" spans="10:10" ht="15.75" customHeight="1">
      <c r="J904" s="15"/>
    </row>
    <row r="905" spans="10:10" ht="15.75" customHeight="1">
      <c r="J905" s="15"/>
    </row>
    <row r="906" spans="10:10" ht="15.75" customHeight="1">
      <c r="J906" s="15"/>
    </row>
    <row r="907" spans="10:10" ht="15.75" customHeight="1">
      <c r="J907" s="15"/>
    </row>
    <row r="908" spans="10:10" ht="15.75" customHeight="1">
      <c r="J908" s="15"/>
    </row>
    <row r="909" spans="10:10" ht="15.75" customHeight="1">
      <c r="J909" s="15"/>
    </row>
    <row r="910" spans="10:10" ht="15.75" customHeight="1">
      <c r="J910" s="15"/>
    </row>
    <row r="911" spans="10:10" ht="15.75" customHeight="1">
      <c r="J911" s="15"/>
    </row>
    <row r="912" spans="10:10" ht="15.75" customHeight="1">
      <c r="J912" s="15"/>
    </row>
    <row r="913" spans="10:10" ht="15.75" customHeight="1">
      <c r="J913" s="15"/>
    </row>
    <row r="914" spans="10:10" ht="15.75" customHeight="1">
      <c r="J914" s="15"/>
    </row>
    <row r="915" spans="10:10" ht="15.75" customHeight="1">
      <c r="J915" s="15"/>
    </row>
    <row r="916" spans="10:10" ht="15.75" customHeight="1">
      <c r="J916" s="15"/>
    </row>
    <row r="917" spans="10:10" ht="15.75" customHeight="1">
      <c r="J917" s="15"/>
    </row>
    <row r="918" spans="10:10" ht="15.75" customHeight="1">
      <c r="J918" s="15"/>
    </row>
    <row r="919" spans="10:10" ht="15.75" customHeight="1">
      <c r="J919" s="15"/>
    </row>
    <row r="920" spans="10:10" ht="15.75" customHeight="1">
      <c r="J920" s="15"/>
    </row>
    <row r="921" spans="10:10" ht="15.75" customHeight="1">
      <c r="J921" s="15"/>
    </row>
    <row r="922" spans="10:10" ht="15.75" customHeight="1">
      <c r="J922" s="15"/>
    </row>
    <row r="923" spans="10:10" ht="15.75" customHeight="1">
      <c r="J923" s="15"/>
    </row>
    <row r="924" spans="10:10" ht="15.75" customHeight="1">
      <c r="J924" s="15"/>
    </row>
    <row r="925" spans="10:10" ht="15.75" customHeight="1">
      <c r="J925" s="15"/>
    </row>
    <row r="926" spans="10:10" ht="15.75" customHeight="1">
      <c r="J926" s="15"/>
    </row>
    <row r="927" spans="10:10" ht="15.75" customHeight="1">
      <c r="J927" s="15"/>
    </row>
    <row r="928" spans="10:10" ht="15.75" customHeight="1">
      <c r="J928" s="15"/>
    </row>
    <row r="929" spans="10:10" ht="15.75" customHeight="1">
      <c r="J929" s="15"/>
    </row>
    <row r="930" spans="10:10" ht="15.75" customHeight="1">
      <c r="J930" s="15"/>
    </row>
    <row r="931" spans="10:10" ht="15.75" customHeight="1">
      <c r="J931" s="15"/>
    </row>
    <row r="932" spans="10:10" ht="15.75" customHeight="1">
      <c r="J932" s="15"/>
    </row>
    <row r="933" spans="10:10" ht="15.75" customHeight="1">
      <c r="J933" s="15"/>
    </row>
    <row r="934" spans="10:10" ht="15.75" customHeight="1">
      <c r="J934" s="15"/>
    </row>
    <row r="935" spans="10:10" ht="15.75" customHeight="1">
      <c r="J935" s="15"/>
    </row>
    <row r="936" spans="10:10" ht="15.75" customHeight="1">
      <c r="J936" s="15"/>
    </row>
    <row r="937" spans="10:10" ht="15.75" customHeight="1">
      <c r="J937" s="15"/>
    </row>
    <row r="938" spans="10:10" ht="15.75" customHeight="1">
      <c r="J938" s="15"/>
    </row>
    <row r="939" spans="10:10" ht="15.75" customHeight="1">
      <c r="J939" s="15"/>
    </row>
    <row r="940" spans="10:10" ht="15.75" customHeight="1">
      <c r="J940" s="15"/>
    </row>
    <row r="941" spans="10:10" ht="15.75" customHeight="1">
      <c r="J941" s="15"/>
    </row>
    <row r="942" spans="10:10" ht="15.75" customHeight="1">
      <c r="J942" s="15"/>
    </row>
    <row r="943" spans="10:10" ht="15.75" customHeight="1">
      <c r="J943" s="15"/>
    </row>
    <row r="944" spans="10:10" ht="15.75" customHeight="1">
      <c r="J944" s="15"/>
    </row>
    <row r="945" spans="10:10" ht="15.75" customHeight="1">
      <c r="J945" s="15"/>
    </row>
    <row r="946" spans="10:10" ht="15.75" customHeight="1">
      <c r="J946" s="15"/>
    </row>
    <row r="947" spans="10:10" ht="15.75" customHeight="1">
      <c r="J947" s="15"/>
    </row>
    <row r="948" spans="10:10" ht="15.75" customHeight="1">
      <c r="J948" s="15"/>
    </row>
    <row r="949" spans="10:10" ht="15.75" customHeight="1">
      <c r="J949" s="15"/>
    </row>
    <row r="950" spans="10:10" ht="15.75" customHeight="1">
      <c r="J950" s="15"/>
    </row>
    <row r="951" spans="10:10" ht="15.75" customHeight="1">
      <c r="J951" s="15"/>
    </row>
    <row r="952" spans="10:10" ht="15.75" customHeight="1">
      <c r="J952" s="15"/>
    </row>
    <row r="953" spans="10:10" ht="15.75" customHeight="1">
      <c r="J953" s="15"/>
    </row>
    <row r="954" spans="10:10" ht="15.75" customHeight="1">
      <c r="J954" s="15"/>
    </row>
    <row r="955" spans="10:10" ht="15.75" customHeight="1">
      <c r="J955" s="15"/>
    </row>
    <row r="956" spans="10:10" ht="15.75" customHeight="1">
      <c r="J956" s="15"/>
    </row>
    <row r="957" spans="10:10" ht="15.75" customHeight="1">
      <c r="J957" s="15"/>
    </row>
    <row r="958" spans="10:10" ht="15.75" customHeight="1">
      <c r="J958" s="15"/>
    </row>
    <row r="959" spans="10:10" ht="15.75" customHeight="1">
      <c r="J959" s="15"/>
    </row>
    <row r="960" spans="10:10" ht="15.75" customHeight="1">
      <c r="J960" s="15"/>
    </row>
    <row r="961" spans="10:10" ht="15.75" customHeight="1">
      <c r="J961" s="15"/>
    </row>
    <row r="962" spans="10:10" ht="15.75" customHeight="1">
      <c r="J962" s="15"/>
    </row>
    <row r="963" spans="10:10" ht="15.75" customHeight="1">
      <c r="J963" s="15"/>
    </row>
    <row r="964" spans="10:10" ht="15.75" customHeight="1">
      <c r="J964" s="15"/>
    </row>
    <row r="965" spans="10:10" ht="15.75" customHeight="1">
      <c r="J965" s="15"/>
    </row>
    <row r="966" spans="10:10" ht="15.75" customHeight="1">
      <c r="J966" s="15"/>
    </row>
    <row r="967" spans="10:10" ht="15.75" customHeight="1">
      <c r="J967" s="15"/>
    </row>
    <row r="968" spans="10:10" ht="15.75" customHeight="1">
      <c r="J968" s="15"/>
    </row>
    <row r="969" spans="10:10" ht="15.75" customHeight="1">
      <c r="J969" s="15"/>
    </row>
    <row r="970" spans="10:10" ht="15.75" customHeight="1">
      <c r="J970" s="15"/>
    </row>
    <row r="971" spans="10:10" ht="15.75" customHeight="1">
      <c r="J971" s="15"/>
    </row>
    <row r="972" spans="10:10" ht="15.75" customHeight="1">
      <c r="J972" s="15"/>
    </row>
    <row r="973" spans="10:10" ht="15.75" customHeight="1">
      <c r="J973" s="15"/>
    </row>
    <row r="974" spans="10:10" ht="15.75" customHeight="1">
      <c r="J974" s="15"/>
    </row>
    <row r="975" spans="10:10" ht="15.75" customHeight="1">
      <c r="J975" s="15"/>
    </row>
    <row r="976" spans="10:10" ht="15.75" customHeight="1">
      <c r="J976" s="15"/>
    </row>
    <row r="977" spans="10:10" ht="15.75" customHeight="1">
      <c r="J977" s="15"/>
    </row>
    <row r="978" spans="10:10" ht="15.75" customHeight="1">
      <c r="J978" s="15"/>
    </row>
    <row r="979" spans="10:10" ht="15.75" customHeight="1">
      <c r="J979" s="15"/>
    </row>
    <row r="980" spans="10:10" ht="15.75" customHeight="1">
      <c r="J980" s="15"/>
    </row>
    <row r="981" spans="10:10" ht="15.75" customHeight="1">
      <c r="J981" s="15"/>
    </row>
    <row r="982" spans="10:10" ht="15.75" customHeight="1">
      <c r="J982" s="15"/>
    </row>
    <row r="983" spans="10:10" ht="15.75" customHeight="1">
      <c r="J983" s="15"/>
    </row>
    <row r="984" spans="10:10" ht="15.75" customHeight="1">
      <c r="J984" s="15"/>
    </row>
    <row r="985" spans="10:10" ht="15.75" customHeight="1">
      <c r="J985" s="15"/>
    </row>
    <row r="986" spans="10:10" ht="15.75" customHeight="1">
      <c r="J986" s="15"/>
    </row>
    <row r="987" spans="10:10" ht="15.75" customHeight="1">
      <c r="J987" s="15"/>
    </row>
    <row r="988" spans="10:10" ht="15.75" customHeight="1">
      <c r="J988" s="15"/>
    </row>
    <row r="989" spans="10:10" ht="15.75" customHeight="1">
      <c r="J989" s="15"/>
    </row>
    <row r="990" spans="10:10" ht="15.75" customHeight="1">
      <c r="J990" s="15"/>
    </row>
    <row r="991" spans="10:10" ht="15.75" customHeight="1">
      <c r="J991" s="15"/>
    </row>
    <row r="992" spans="10:10" ht="15.75" customHeight="1">
      <c r="J992" s="15"/>
    </row>
    <row r="993" spans="10:10" ht="15.75" customHeight="1">
      <c r="J993" s="15"/>
    </row>
    <row r="994" spans="10:10" ht="15.75" customHeight="1">
      <c r="J994" s="15"/>
    </row>
    <row r="995" spans="10:10" ht="15.75" customHeight="1">
      <c r="J995" s="15"/>
    </row>
    <row r="996" spans="10:10" ht="15.75" customHeight="1">
      <c r="J996" s="15"/>
    </row>
    <row r="997" spans="10:10" ht="15.75" customHeight="1">
      <c r="J997" s="15"/>
    </row>
    <row r="998" spans="10:10" ht="15.75" customHeight="1">
      <c r="J998" s="15"/>
    </row>
    <row r="999" spans="10:10" ht="15.75" customHeight="1">
      <c r="J999" s="15"/>
    </row>
    <row r="1000" spans="10:10" ht="15.75" customHeight="1">
      <c r="J1000" s="15"/>
    </row>
    <row r="1001" spans="10:10" ht="15.75" customHeight="1">
      <c r="J1001" s="15"/>
    </row>
    <row r="1002" spans="10:10" ht="15.75" customHeight="1">
      <c r="J1002" s="15"/>
    </row>
    <row r="1003" spans="10:10" ht="15.75" customHeight="1">
      <c r="J1003" s="15"/>
    </row>
    <row r="1004" spans="10:10" ht="15.75" customHeight="1">
      <c r="J1004" s="15"/>
    </row>
    <row r="1005" spans="10:10" ht="15.75" customHeight="1">
      <c r="J1005" s="15"/>
    </row>
    <row r="1006" spans="10:10" ht="15.75" customHeight="1">
      <c r="J1006" s="15"/>
    </row>
    <row r="1007" spans="10:10" ht="15.75" customHeight="1">
      <c r="J1007" s="15"/>
    </row>
    <row r="1008" spans="10:10" ht="15.75" customHeight="1">
      <c r="J1008" s="15"/>
    </row>
    <row r="1009" spans="10:10" ht="15.75" customHeight="1">
      <c r="J1009" s="15"/>
    </row>
    <row r="1010" spans="10:10" ht="15.75" customHeight="1">
      <c r="J1010" s="15"/>
    </row>
    <row r="1011" spans="10:10" ht="15.75" customHeight="1">
      <c r="J1011" s="15"/>
    </row>
    <row r="1012" spans="10:10" ht="15.75" customHeight="1">
      <c r="J1012" s="15"/>
    </row>
    <row r="1013" spans="10:10" ht="15.75" customHeight="1">
      <c r="J1013" s="15"/>
    </row>
    <row r="1014" spans="10:10" ht="15.75" customHeight="1">
      <c r="J1014" s="15"/>
    </row>
    <row r="1015" spans="10:10" ht="15.75" customHeight="1">
      <c r="J1015" s="15"/>
    </row>
    <row r="1016" spans="10:10" ht="15.75" customHeight="1">
      <c r="J1016" s="15"/>
    </row>
    <row r="1017" spans="10:10" ht="15.75" customHeight="1">
      <c r="J1017" s="15"/>
    </row>
    <row r="1018" spans="10:10" ht="15.75" customHeight="1">
      <c r="J1018" s="15"/>
    </row>
    <row r="1019" spans="10:10" ht="15.75" customHeight="1">
      <c r="J1019" s="15"/>
    </row>
    <row r="1020" spans="10:10" ht="15.75" customHeight="1">
      <c r="J1020" s="15"/>
    </row>
    <row r="1021" spans="10:10" ht="15.75" customHeight="1">
      <c r="J1021" s="15"/>
    </row>
    <row r="1022" spans="10:10" ht="15.75" customHeight="1">
      <c r="J1022" s="15"/>
    </row>
    <row r="1023" spans="10:10" ht="15.75" customHeight="1">
      <c r="J1023" s="15"/>
    </row>
    <row r="1024" spans="10:10" ht="15.75" customHeight="1">
      <c r="J1024" s="15"/>
    </row>
    <row r="1025" spans="10:10" ht="15.75" customHeight="1">
      <c r="J1025" s="15"/>
    </row>
    <row r="1026" spans="10:10" ht="15.75" customHeight="1">
      <c r="J1026" s="15"/>
    </row>
    <row r="1027" spans="10:10" ht="15.75" customHeight="1">
      <c r="J1027" s="15"/>
    </row>
    <row r="1028" spans="10:10" ht="15.75" customHeight="1">
      <c r="J1028" s="15"/>
    </row>
    <row r="1029" spans="10:10" ht="15.75" customHeight="1">
      <c r="J1029" s="15"/>
    </row>
    <row r="1030" spans="10:10" ht="15.75" customHeight="1">
      <c r="J1030" s="15"/>
    </row>
    <row r="1031" spans="10:10" ht="15.75" customHeight="1">
      <c r="J1031" s="15"/>
    </row>
    <row r="1032" spans="10:10" ht="15.75" customHeight="1">
      <c r="J1032" s="15"/>
    </row>
    <row r="1033" spans="10:10" ht="15.75" customHeight="1">
      <c r="J1033" s="15"/>
    </row>
    <row r="1034" spans="10:10" ht="15.75" customHeight="1">
      <c r="J1034" s="15"/>
    </row>
    <row r="1035" spans="10:10" ht="15.75" customHeight="1">
      <c r="J1035" s="15"/>
    </row>
    <row r="1036" spans="10:10" ht="15.75" customHeight="1">
      <c r="J1036" s="15"/>
    </row>
    <row r="1037" spans="10:10" ht="15.75" customHeight="1">
      <c r="J1037" s="15"/>
    </row>
    <row r="1038" spans="10:10" ht="15.75" customHeight="1">
      <c r="J1038" s="15"/>
    </row>
    <row r="1039" spans="10:10" ht="15.75" customHeight="1">
      <c r="J1039" s="15"/>
    </row>
    <row r="1040" spans="10:10" ht="15.75" customHeight="1">
      <c r="J1040" s="15"/>
    </row>
    <row r="1041" spans="10:10" ht="15.75" customHeight="1">
      <c r="J1041" s="15"/>
    </row>
    <row r="1042" spans="10:10" ht="15.75" customHeight="1">
      <c r="J1042" s="15"/>
    </row>
    <row r="1043" spans="10:10" ht="15.75" customHeight="1">
      <c r="J1043" s="15"/>
    </row>
    <row r="1044" spans="10:10" ht="15.75" customHeight="1">
      <c r="J1044" s="15"/>
    </row>
    <row r="1045" spans="10:10" ht="15.75" customHeight="1">
      <c r="J1045" s="15"/>
    </row>
    <row r="1046" spans="10:10" ht="15.75" customHeight="1">
      <c r="J1046" s="15"/>
    </row>
    <row r="1047" spans="10:10" ht="15.75" customHeight="1">
      <c r="J1047" s="15"/>
    </row>
    <row r="1048" spans="10:10" ht="15.75" customHeight="1">
      <c r="J1048" s="15"/>
    </row>
    <row r="1049" spans="10:10" ht="15.75" customHeight="1">
      <c r="J1049" s="15"/>
    </row>
    <row r="1050" spans="10:10" ht="15.75" customHeight="1">
      <c r="J1050" s="15"/>
    </row>
    <row r="1051" spans="10:10" ht="15.75" customHeight="1">
      <c r="J1051" s="15"/>
    </row>
    <row r="1052" spans="10:10" ht="15.75" customHeight="1">
      <c r="J1052" s="15"/>
    </row>
    <row r="1053" spans="10:10" ht="15.75" customHeight="1">
      <c r="J1053" s="15"/>
    </row>
    <row r="1054" spans="10:10" ht="15.75" customHeight="1">
      <c r="J1054" s="15"/>
    </row>
    <row r="1055" spans="10:10" ht="15.75" customHeight="1">
      <c r="J1055" s="15"/>
    </row>
    <row r="1056" spans="10:10" ht="15.75" customHeight="1">
      <c r="J1056" s="15"/>
    </row>
    <row r="1057" spans="10:10" ht="15.75" customHeight="1">
      <c r="J1057" s="15"/>
    </row>
    <row r="1058" spans="10:10" ht="15.75" customHeight="1">
      <c r="J1058" s="15"/>
    </row>
    <row r="1059" spans="10:10" ht="15.75" customHeight="1">
      <c r="J1059" s="15"/>
    </row>
    <row r="1060" spans="10:10" ht="15.75" customHeight="1">
      <c r="J1060" s="15"/>
    </row>
    <row r="1061" spans="10:10" ht="15.75" customHeight="1">
      <c r="J1061" s="15"/>
    </row>
    <row r="1062" spans="10:10" ht="15.75" customHeight="1">
      <c r="J1062" s="15"/>
    </row>
    <row r="1063" spans="10:10" ht="15.75" customHeight="1">
      <c r="J1063" s="15"/>
    </row>
    <row r="1064" spans="10:10" ht="15.75" customHeight="1">
      <c r="J1064" s="15"/>
    </row>
    <row r="1065" spans="10:10" ht="15.75" customHeight="1">
      <c r="J1065" s="15"/>
    </row>
    <row r="1066" spans="10:10" ht="15.75" customHeight="1">
      <c r="J1066" s="15"/>
    </row>
    <row r="1067" spans="10:10" ht="15.75" customHeight="1">
      <c r="J1067" s="15"/>
    </row>
    <row r="1068" spans="10:10" ht="15.75" customHeight="1">
      <c r="J1068" s="15"/>
    </row>
    <row r="1069" spans="10:10" ht="15.75" customHeight="1">
      <c r="J1069" s="15"/>
    </row>
    <row r="1070" spans="10:10" ht="15.75" customHeight="1">
      <c r="J1070" s="15"/>
    </row>
    <row r="1071" spans="10:10" ht="15.75" customHeight="1">
      <c r="J1071" s="15"/>
    </row>
    <row r="1072" spans="10:10" ht="15.75" customHeight="1">
      <c r="J1072" s="15"/>
    </row>
    <row r="1073" spans="10:10" ht="15.75" customHeight="1">
      <c r="J1073" s="15"/>
    </row>
    <row r="1074" spans="10:10" ht="15.75" customHeight="1">
      <c r="J1074" s="15"/>
    </row>
    <row r="1075" spans="10:10" ht="15.75" customHeight="1">
      <c r="J1075" s="15"/>
    </row>
    <row r="1076" spans="10:10" ht="15.75" customHeight="1">
      <c r="J1076" s="15"/>
    </row>
    <row r="1077" spans="10:10" ht="15.75" customHeight="1">
      <c r="J1077" s="15"/>
    </row>
    <row r="1078" spans="10:10" ht="15.75" customHeight="1">
      <c r="J1078" s="15"/>
    </row>
    <row r="1079" spans="10:10" ht="15.75" customHeight="1">
      <c r="J1079" s="15"/>
    </row>
    <row r="1080" spans="10:10" ht="15.75" customHeight="1">
      <c r="J1080" s="15"/>
    </row>
    <row r="1081" spans="10:10" ht="15.75" customHeight="1">
      <c r="J1081" s="15"/>
    </row>
    <row r="1082" spans="10:10" ht="15.75" customHeight="1">
      <c r="J1082" s="15"/>
    </row>
    <row r="1083" spans="10:10" ht="15.75" customHeight="1">
      <c r="J1083" s="15"/>
    </row>
    <row r="1084" spans="10:10" ht="15.75" customHeight="1">
      <c r="J1084" s="15"/>
    </row>
    <row r="1085" spans="10:10" ht="15.75" customHeight="1">
      <c r="J1085" s="15"/>
    </row>
    <row r="1086" spans="10:10" ht="15.75" customHeight="1">
      <c r="J1086" s="15"/>
    </row>
    <row r="1087" spans="10:10" ht="15.75" customHeight="1">
      <c r="J1087" s="15"/>
    </row>
    <row r="1088" spans="10:10" ht="15.75" customHeight="1">
      <c r="J1088" s="15"/>
    </row>
    <row r="1089" spans="10:10" ht="15.75" customHeight="1">
      <c r="J1089" s="15"/>
    </row>
    <row r="1090" spans="10:10" ht="15.75" customHeight="1">
      <c r="J1090" s="15"/>
    </row>
    <row r="1091" spans="10:10" ht="15.75" customHeight="1">
      <c r="J1091" s="15"/>
    </row>
    <row r="1092" spans="10:10" ht="15.75" customHeight="1">
      <c r="J1092" s="15"/>
    </row>
    <row r="1093" spans="10:10" ht="15.75" customHeight="1">
      <c r="J1093" s="15"/>
    </row>
    <row r="1094" spans="10:10" ht="15.75" customHeight="1">
      <c r="J1094" s="15"/>
    </row>
    <row r="1095" spans="10:10" ht="15.75" customHeight="1">
      <c r="J1095" s="15"/>
    </row>
    <row r="1096" spans="10:10" ht="15.75" customHeight="1">
      <c r="J1096" s="15"/>
    </row>
    <row r="1097" spans="10:10" ht="15.75" customHeight="1">
      <c r="J1097" s="15"/>
    </row>
    <row r="1098" spans="10:10" ht="15.75" customHeight="1">
      <c r="J1098" s="15"/>
    </row>
    <row r="1099" spans="10:10" ht="15.75" customHeight="1">
      <c r="J1099" s="15"/>
    </row>
    <row r="1100" spans="10:10" ht="15.75" customHeight="1">
      <c r="J1100" s="15"/>
    </row>
    <row r="1101" spans="10:10" ht="15.75" customHeight="1">
      <c r="J1101" s="15"/>
    </row>
    <row r="1102" spans="10:10" ht="15.75" customHeight="1">
      <c r="J1102" s="15"/>
    </row>
    <row r="1103" spans="10:10" ht="15.75" customHeight="1">
      <c r="J1103" s="15"/>
    </row>
    <row r="1104" spans="10:10" ht="15.75" customHeight="1">
      <c r="J1104" s="15"/>
    </row>
    <row r="1105" spans="10:10" ht="15.75" customHeight="1">
      <c r="J1105" s="15"/>
    </row>
    <row r="1106" spans="10:10" ht="15.75" customHeight="1">
      <c r="J1106" s="15"/>
    </row>
    <row r="1107" spans="10:10" ht="15.75" customHeight="1">
      <c r="J1107" s="15"/>
    </row>
    <row r="1108" spans="10:10" ht="15.75" customHeight="1">
      <c r="J1108" s="15"/>
    </row>
    <row r="1109" spans="10:10" ht="15.75" customHeight="1">
      <c r="J1109" s="15"/>
    </row>
    <row r="1110" spans="10:10" ht="15.75" customHeight="1">
      <c r="J1110" s="15"/>
    </row>
    <row r="1111" spans="10:10" ht="15.75" customHeight="1">
      <c r="J1111" s="15"/>
    </row>
    <row r="1112" spans="10:10" ht="15.75" customHeight="1">
      <c r="J1112" s="15"/>
    </row>
    <row r="1113" spans="10:10" ht="15.75" customHeight="1">
      <c r="J1113" s="15"/>
    </row>
    <row r="1114" spans="10:10" ht="15.75" customHeight="1">
      <c r="J1114" s="15"/>
    </row>
    <row r="1115" spans="10:10" ht="15.75" customHeight="1">
      <c r="J1115" s="15"/>
    </row>
    <row r="1116" spans="10:10" ht="15.75" customHeight="1">
      <c r="J1116" s="15"/>
    </row>
    <row r="1117" spans="10:10" ht="15.75" customHeight="1">
      <c r="J1117" s="15"/>
    </row>
    <row r="1118" spans="10:10" ht="15.75" customHeight="1">
      <c r="J1118" s="15"/>
    </row>
    <row r="1119" spans="10:10" ht="15.75" customHeight="1">
      <c r="J1119" s="15"/>
    </row>
    <row r="1120" spans="10:10" ht="15.75" customHeight="1">
      <c r="J1120" s="15"/>
    </row>
    <row r="1121" spans="10:10" ht="15.75" customHeight="1">
      <c r="J1121" s="15"/>
    </row>
    <row r="1122" spans="10:10" ht="15.75" customHeight="1">
      <c r="J1122" s="15"/>
    </row>
    <row r="1123" spans="10:10" ht="15.75" customHeight="1">
      <c r="J1123" s="15"/>
    </row>
    <row r="1124" spans="10:10" ht="15.75" customHeight="1">
      <c r="J1124" s="15"/>
    </row>
    <row r="1125" spans="10:10" ht="15.75" customHeight="1">
      <c r="J1125" s="15"/>
    </row>
    <row r="1126" spans="10:10" ht="15.75" customHeight="1">
      <c r="J1126" s="15"/>
    </row>
    <row r="1127" spans="10:10" ht="15.75" customHeight="1">
      <c r="J1127" s="15"/>
    </row>
    <row r="1128" spans="10:10" ht="15.75" customHeight="1">
      <c r="J1128" s="15"/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E1" workbookViewId="0">
      <selection sqref="A1:L7"/>
    </sheetView>
  </sheetViews>
  <sheetFormatPr defaultColWidth="14.42578125" defaultRowHeight="15" customHeight="1"/>
  <cols>
    <col min="1" max="1" width="16.85546875" customWidth="1"/>
    <col min="2" max="2" width="14.42578125" customWidth="1"/>
    <col min="3" max="3" width="11.85546875" customWidth="1"/>
    <col min="4" max="4" width="12.5703125" customWidth="1"/>
    <col min="5" max="5" width="13.85546875" customWidth="1"/>
    <col min="6" max="6" width="11" customWidth="1"/>
    <col min="7" max="7" width="11.5703125" customWidth="1"/>
    <col min="8" max="8" width="12.140625" customWidth="1"/>
    <col min="9" max="9" width="7.5703125" customWidth="1"/>
    <col min="10" max="10" width="10" customWidth="1"/>
    <col min="11" max="11" width="21.5703125" customWidth="1"/>
    <col min="12" max="12" width="24.28515625" customWidth="1"/>
    <col min="13" max="26" width="8.7109375" customWidth="1"/>
  </cols>
  <sheetData>
    <row r="1" spans="1:26" ht="16.5">
      <c r="A1" s="1" t="s">
        <v>0</v>
      </c>
      <c r="B1" s="1" t="s">
        <v>397</v>
      </c>
      <c r="C1" s="2" t="s">
        <v>398</v>
      </c>
      <c r="D1" s="1" t="s">
        <v>9</v>
      </c>
      <c r="E1" s="1" t="s">
        <v>10</v>
      </c>
      <c r="F1" s="1" t="s">
        <v>11</v>
      </c>
      <c r="G1" s="4" t="s">
        <v>12</v>
      </c>
      <c r="H1" s="4" t="s">
        <v>13</v>
      </c>
      <c r="I1" s="1" t="s">
        <v>14</v>
      </c>
      <c r="J1" s="1" t="s">
        <v>15</v>
      </c>
      <c r="K1" s="1" t="s">
        <v>16</v>
      </c>
      <c r="L1" s="4" t="s">
        <v>17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>
      <c r="A2" s="6" t="s">
        <v>399</v>
      </c>
      <c r="B2" s="6" t="s">
        <v>400</v>
      </c>
      <c r="C2" s="7">
        <v>4284439</v>
      </c>
      <c r="D2" s="6">
        <v>19</v>
      </c>
      <c r="E2" s="6">
        <v>0</v>
      </c>
      <c r="F2" s="6">
        <f>SUM(D2:E2)</f>
        <v>19</v>
      </c>
      <c r="G2" s="8">
        <v>45292</v>
      </c>
      <c r="H2" s="8" t="s">
        <v>401</v>
      </c>
      <c r="I2" s="6">
        <f>MONTH(G2)</f>
        <v>1</v>
      </c>
      <c r="J2" s="6" t="s">
        <v>52</v>
      </c>
      <c r="K2" s="6" t="s">
        <v>402</v>
      </c>
      <c r="L2" s="8">
        <v>45261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.5">
      <c r="A3" s="6" t="s">
        <v>403</v>
      </c>
      <c r="B3" s="6" t="s">
        <v>32</v>
      </c>
      <c r="C3" s="7">
        <v>1125000</v>
      </c>
      <c r="D3" s="6">
        <v>5</v>
      </c>
      <c r="E3" s="6">
        <v>0</v>
      </c>
      <c r="F3" s="6">
        <f>SUM(D3:E3)</f>
        <v>5</v>
      </c>
      <c r="G3" s="8">
        <v>45327</v>
      </c>
      <c r="H3" s="8">
        <v>45477</v>
      </c>
      <c r="I3" s="6">
        <f>MONTH(G3)</f>
        <v>2</v>
      </c>
      <c r="J3" s="6" t="s">
        <v>22</v>
      </c>
      <c r="K3" s="6" t="s">
        <v>32</v>
      </c>
      <c r="L3" s="8">
        <v>45265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.5">
      <c r="A4" s="6" t="s">
        <v>404</v>
      </c>
      <c r="B4" s="6" t="s">
        <v>30</v>
      </c>
      <c r="C4" s="7">
        <v>2088990</v>
      </c>
      <c r="D4" s="6">
        <v>65</v>
      </c>
      <c r="E4" s="6">
        <v>0</v>
      </c>
      <c r="F4" s="6">
        <f>SUM(D4:E4)</f>
        <v>65</v>
      </c>
      <c r="G4" s="8">
        <v>45362</v>
      </c>
      <c r="H4" s="8">
        <v>45636</v>
      </c>
      <c r="I4" s="6">
        <v>3</v>
      </c>
      <c r="J4" s="6" t="s">
        <v>22</v>
      </c>
      <c r="K4" s="6" t="s">
        <v>30</v>
      </c>
      <c r="L4" s="8">
        <v>45323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>
      <c r="A5" s="6" t="s">
        <v>399</v>
      </c>
      <c r="B5" s="6" t="s">
        <v>400</v>
      </c>
      <c r="C5" s="7">
        <v>8934501</v>
      </c>
      <c r="D5" s="6">
        <v>19</v>
      </c>
      <c r="E5" s="6">
        <v>0</v>
      </c>
      <c r="F5" s="6">
        <f>SUM(D5:E5)</f>
        <v>19</v>
      </c>
      <c r="G5" s="8">
        <v>45474</v>
      </c>
      <c r="H5" s="8">
        <v>45838</v>
      </c>
      <c r="I5" s="6">
        <f>MONTH(G5)</f>
        <v>7</v>
      </c>
      <c r="J5" s="6" t="s">
        <v>52</v>
      </c>
      <c r="K5" s="6" t="s">
        <v>68</v>
      </c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5">
      <c r="A6" s="1" t="s">
        <v>396</v>
      </c>
      <c r="B6" s="1"/>
      <c r="C6" s="2">
        <f>SUM(C2:C5)</f>
        <v>16432930</v>
      </c>
      <c r="D6" s="2">
        <f>SUM(D2:D3)</f>
        <v>24</v>
      </c>
      <c r="E6" s="2">
        <f>SUM(E2:E3)</f>
        <v>0</v>
      </c>
      <c r="F6" s="2">
        <f>SUM(F2:F3)</f>
        <v>24</v>
      </c>
      <c r="G6" s="4"/>
      <c r="H6" s="4"/>
      <c r="I6" s="1"/>
      <c r="J6" s="1"/>
      <c r="K6" s="1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578125" defaultRowHeight="15" customHeight="1"/>
  <sheetData>
    <row r="4" spans="1:25">
      <c r="B4" s="31"/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>
        <v>10</v>
      </c>
      <c r="M4" s="32">
        <v>11</v>
      </c>
      <c r="N4" s="32">
        <v>12</v>
      </c>
    </row>
    <row r="5" spans="1:25">
      <c r="B5" s="31"/>
      <c r="C5" s="31" t="s">
        <v>405</v>
      </c>
      <c r="D5" s="31" t="s">
        <v>406</v>
      </c>
      <c r="E5" s="31" t="s">
        <v>407</v>
      </c>
      <c r="F5" s="31" t="s">
        <v>408</v>
      </c>
      <c r="G5" s="31" t="s">
        <v>409</v>
      </c>
      <c r="H5" s="31" t="s">
        <v>410</v>
      </c>
      <c r="I5" s="31" t="s">
        <v>411</v>
      </c>
      <c r="J5" s="31" t="s">
        <v>412</v>
      </c>
      <c r="K5" s="31" t="s">
        <v>413</v>
      </c>
      <c r="L5" s="31" t="s">
        <v>414</v>
      </c>
      <c r="M5" s="31" t="s">
        <v>415</v>
      </c>
      <c r="N5" s="31" t="s">
        <v>416</v>
      </c>
    </row>
    <row r="6" spans="1:25">
      <c r="B6" s="31" t="s">
        <v>417</v>
      </c>
      <c r="C6" s="33">
        <f>SUMIF('NEW BUSINES'!$P$3:$P$59,C4,'NEW BUSINES'!$I$3:$I$67)</f>
        <v>0</v>
      </c>
      <c r="D6" s="33">
        <f>SUMIF('NEW BUSINES'!$P$3:$P$59,D4,'NEW BUSINES'!$I$3:$I$67)</f>
        <v>0</v>
      </c>
      <c r="E6" s="33">
        <f>SUMIF('NEW BUSINES'!$P$3:$P$59,E4,'NEW BUSINES'!$I$3:$I$67)</f>
        <v>0</v>
      </c>
      <c r="F6" s="33">
        <f>SUMIF('NEW BUSINES'!$P$3:$P$59,F4,'NEW BUSINES'!$I$3:$I$67)</f>
        <v>0</v>
      </c>
      <c r="G6" s="33">
        <f>SUMIF('NEW BUSINES'!$P$3:$P$59,G4,'NEW BUSINES'!$I$3:$I$67)</f>
        <v>0</v>
      </c>
      <c r="H6" s="33">
        <f>SUMIF('NEW BUSINES'!$P$3:$P$59,H4,'NEW BUSINES'!$I$3:$I$67)</f>
        <v>0</v>
      </c>
      <c r="I6" s="33">
        <f>SUMIF('NEW BUSINES'!$P$3:$P$59,I4,'NEW BUSINES'!$I$3:$I$67)</f>
        <v>0</v>
      </c>
      <c r="J6" s="33">
        <f>SUMIF('NEW BUSINES'!$P$3:$P$59,J4,'NEW BUSINES'!$I$3:$I$67)</f>
        <v>0</v>
      </c>
      <c r="K6" s="33">
        <f>SUMIF('NEW BUSINES'!$P$3:$P$59,K4,'NEW BUSINES'!$I$3:$I$67)</f>
        <v>0</v>
      </c>
      <c r="L6" s="33">
        <f>SUMIF('NEW BUSINES'!$P$3:$P$59,L4,'NEW BUSINES'!$I$3:$I$67)</f>
        <v>0</v>
      </c>
      <c r="M6" s="33">
        <f>SUMIF('NEW BUSINES'!$P$3:$P$59,M4,'NEW BUSINES'!$I$3:$I$67)</f>
        <v>0</v>
      </c>
      <c r="N6" s="33">
        <f>SUMIF('NEW BUSINES'!$P$3:$P$59,N4,'NEW BUSINES'!$I$3:$I$67)</f>
        <v>0</v>
      </c>
    </row>
    <row r="7" spans="1:25">
      <c r="B7" s="31" t="s">
        <v>418</v>
      </c>
      <c r="C7" s="33" t="e">
        <f>SUMIF(ENDORSMENTS!#REF!,C4,ENDORSMENTS!$M$2:$M$123)</f>
        <v>#REF!</v>
      </c>
      <c r="D7" s="33" t="e">
        <f>SUMIF(ENDORSMENTS!#REF!,D4,ENDORSMENTS!$M$2:$M$123)</f>
        <v>#REF!</v>
      </c>
      <c r="E7" s="33" t="e">
        <f>SUMIF(ENDORSMENTS!#REF!,E4,ENDORSMENTS!$M$2:$M$123)</f>
        <v>#REF!</v>
      </c>
      <c r="F7" s="33" t="e">
        <f>SUMIF(ENDORSMENTS!#REF!,F4,ENDORSMENTS!$M$2:$M$123)</f>
        <v>#REF!</v>
      </c>
      <c r="G7" s="33" t="e">
        <f>SUMIF(ENDORSMENTS!#REF!,G4,ENDORSMENTS!$M$2:$M$123)</f>
        <v>#REF!</v>
      </c>
      <c r="H7" s="33" t="e">
        <f>SUMIF(ENDORSMENTS!#REF!,H4,ENDORSMENTS!$M$2:$M$123)</f>
        <v>#REF!</v>
      </c>
      <c r="I7" s="33" t="e">
        <f>SUMIF(ENDORSMENTS!#REF!,I4,ENDORSMENTS!$M$2:$M$123)</f>
        <v>#REF!</v>
      </c>
      <c r="J7" s="33" t="e">
        <f>SUMIF(ENDORSMENTS!#REF!,J4,ENDORSMENTS!$M$2:$M$123)</f>
        <v>#REF!</v>
      </c>
      <c r="K7" s="33" t="e">
        <f>SUMIF(ENDORSMENTS!#REF!,K4,ENDORSMENTS!$M$2:$M$123)</f>
        <v>#REF!</v>
      </c>
      <c r="L7" s="33" t="e">
        <f>SUMIF(ENDORSMENTS!#REF!,L4,ENDORSMENTS!$M$2:$M$123)</f>
        <v>#REF!</v>
      </c>
      <c r="M7" s="33" t="e">
        <f>SUMIF(ENDORSMENTS!#REF!,M4,ENDORSMENTS!$M$2:$M$123)</f>
        <v>#REF!</v>
      </c>
      <c r="N7" s="33" t="e">
        <f>SUMIF(ENDORSMENTS!#REF!,N4,ENDORSMENTS!$M$2:$M$123)</f>
        <v>#REF!</v>
      </c>
      <c r="O7" s="33"/>
    </row>
    <row r="8" spans="1:25">
      <c r="B8" s="31" t="s">
        <v>419</v>
      </c>
      <c r="C8" s="34">
        <f>SUMIF(ProActiv!$I$2:$I$5,C4,ProActiv!$C$2:$C$5)</f>
        <v>4284439</v>
      </c>
      <c r="D8" s="34">
        <f>SUMIF(ProActiv!$I$2:$I$5,D4,ProActiv!$C$2:$C$5)</f>
        <v>1125000</v>
      </c>
      <c r="E8" s="34">
        <f>SUMIF(ProActiv!$I$2:$I$5,E4,ProActiv!$C$2:$C$5)</f>
        <v>2088990</v>
      </c>
      <c r="F8" s="34">
        <f>SUMIF(ProActiv!$I$2:$I$5,F4,ProActiv!$C$2:$C$5)</f>
        <v>0</v>
      </c>
      <c r="G8" s="34">
        <f>SUMIF(ProActiv!$I$2:$I$5,G4,ProActiv!$C$2:$C$5)</f>
        <v>0</v>
      </c>
      <c r="H8" s="34">
        <f>SUMIF(ProActiv!$I$2:$I$5,H4,ProActiv!$C$2:$C$5)</f>
        <v>0</v>
      </c>
      <c r="I8" s="34">
        <f>SUMIF(ProActiv!$I$2:$I$5,I4,ProActiv!$C$2:$C$5)</f>
        <v>8934501</v>
      </c>
      <c r="J8" s="34">
        <f>SUMIF(ProActiv!$I$2:$I$5,J4,ProActiv!$C$2:$C$5)</f>
        <v>0</v>
      </c>
      <c r="K8" s="34">
        <f>SUMIF(ProActiv!$I$2:$I$5,K4,ProActiv!$C$2:$C$5)</f>
        <v>0</v>
      </c>
      <c r="L8" s="34">
        <f>SUMIF(ProActiv!$I$2:$I$5,L4,ProActiv!$C$2:$C$5)</f>
        <v>0</v>
      </c>
      <c r="M8" s="34">
        <f>SUMIF(ProActiv!$I$2:$I$5,M4,ProActiv!$C$2:$C$5)</f>
        <v>0</v>
      </c>
      <c r="N8" s="34">
        <f>SUMIF(ProActiv!$I$2:$I$5,N4,ProActiv!$C$2:$C$5)</f>
        <v>0</v>
      </c>
    </row>
    <row r="9" spans="1:25">
      <c r="A9" s="35"/>
      <c r="B9" s="36" t="s">
        <v>420</v>
      </c>
      <c r="C9" s="37" t="e">
        <f t="shared" ref="C9:N9" si="0">SUM(C6:C8)</f>
        <v>#REF!</v>
      </c>
      <c r="D9" s="37" t="e">
        <f t="shared" si="0"/>
        <v>#REF!</v>
      </c>
      <c r="E9" s="37" t="e">
        <f t="shared" si="0"/>
        <v>#REF!</v>
      </c>
      <c r="F9" s="37" t="e">
        <f t="shared" si="0"/>
        <v>#REF!</v>
      </c>
      <c r="G9" s="37" t="e">
        <f t="shared" si="0"/>
        <v>#REF!</v>
      </c>
      <c r="H9" s="37" t="e">
        <f t="shared" si="0"/>
        <v>#REF!</v>
      </c>
      <c r="I9" s="37" t="e">
        <f t="shared" si="0"/>
        <v>#REF!</v>
      </c>
      <c r="J9" s="37" t="e">
        <f t="shared" si="0"/>
        <v>#REF!</v>
      </c>
      <c r="K9" s="37" t="e">
        <f t="shared" si="0"/>
        <v>#REF!</v>
      </c>
      <c r="L9" s="37" t="e">
        <f t="shared" si="0"/>
        <v>#REF!</v>
      </c>
      <c r="M9" s="37" t="e">
        <f t="shared" si="0"/>
        <v>#REF!</v>
      </c>
      <c r="N9" s="37" t="e">
        <f t="shared" si="0"/>
        <v>#REF!</v>
      </c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F1F-4560-48BA-83A4-14BAFCFCF97A}">
  <dimension ref="A1:A2"/>
  <sheetViews>
    <sheetView workbookViewId="0"/>
  </sheetViews>
  <sheetFormatPr defaultRowHeight="15"/>
  <cols>
    <col min="1" max="1" width="9.7109375" bestFit="1" customWidth="1"/>
  </cols>
  <sheetData>
    <row r="1" spans="1:1">
      <c r="A1" t="s">
        <v>433</v>
      </c>
    </row>
    <row r="2" spans="1:1">
      <c r="A2" t="s">
        <v>434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ngeyenbonje@gmail.com</cp:lastModifiedBy>
  <dcterms:created xsi:type="dcterms:W3CDTF">2024-06-12T10:41:42Z</dcterms:created>
  <dcterms:modified xsi:type="dcterms:W3CDTF">2024-10-14T05:02:51Z</dcterms:modified>
</cp:coreProperties>
</file>