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1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8.xml" ContentType="application/vnd.openxmlformats-officedocument.drawing+xml"/>
  <Override PartName="/xl/tables/table1.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shepomachele/Desktop/Data &amp; Analytics/Eden Care/"/>
    </mc:Choice>
  </mc:AlternateContent>
  <xr:revisionPtr revIDLastSave="0" documentId="8_{709DCC3F-2CA6-2746-867A-3D8588E52C7C}" xr6:coauthVersionLast="47" xr6:coauthVersionMax="47" xr10:uidLastSave="{00000000-0000-0000-0000-000000000000}"/>
  <bookViews>
    <workbookView xWindow="0" yWindow="740" windowWidth="30240" windowHeight="18900" xr2:uid="{00000000-000D-0000-FFFF-FFFF00000000}"/>
  </bookViews>
  <sheets>
    <sheet name="YTD_Premium_Dashboard" sheetId="17" r:id="rId1"/>
    <sheet name="YTD_Lives_Dashboard" sheetId="18" r:id="rId2"/>
    <sheet name="Monthly_Dashboard" sheetId="19" r:id="rId3"/>
    <sheet name="Closed_YTD_Premium" sheetId="11" state="hidden" r:id="rId4"/>
    <sheet name="YTD_Premium_Channel" sheetId="9" state="hidden" r:id="rId5"/>
    <sheet name="YTD_Premium_Segment" sheetId="14" state="hidden" r:id="rId6"/>
    <sheet name="Closed_YTD_Lives" sheetId="12" state="hidden" r:id="rId7"/>
    <sheet name="YTD_Lives_Channel" sheetId="10" state="hidden" r:id="rId8"/>
    <sheet name="YTD_Lives_Segment" sheetId="15" r:id="rId9"/>
    <sheet name="Monthly_Lives and Premium" sheetId="5" state="hidden" r:id="rId10"/>
    <sheet name="Monthly_Overview_Premium" sheetId="7" state="hidden" r:id="rId11"/>
    <sheet name="Monthly_Overview_Lives" sheetId="6" state="hidden" r:id="rId12"/>
    <sheet name="Monthly_Prem_Channel" sheetId="8" state="hidden" r:id="rId13"/>
    <sheet name="Monthly_Lives_Channel" sheetId="20" state="hidden" r:id="rId14"/>
    <sheet name="Monthly_Prem_Segment" sheetId="16" state="hidden" r:id="rId15"/>
    <sheet name="Monthly_Lives_Segment" sheetId="21" state="hidden" r:id="rId16"/>
    <sheet name="YTD_Segment_Metrics" sheetId="24" r:id="rId17"/>
    <sheet name="Client_Metric_Analysis" sheetId="22" r:id="rId18"/>
    <sheet name="Closed Sales Data" sheetId="1" r:id="rId19"/>
    <sheet name="Quoting Convention" sheetId="4" r:id="rId20"/>
    <sheet name="Client_Segments" sheetId="13" r:id="rId21"/>
    <sheet name="Sheet2" sheetId="2" state="hidden" r:id="rId22"/>
  </sheets>
  <definedNames>
    <definedName name="_xlnm._FilterDatabase" localSheetId="18" hidden="1">'Closed Sales Data'!$B$1:$Z$8</definedName>
    <definedName name="Slicer_Client_Name">#N/A</definedName>
    <definedName name="Slicer_Client_Segment">#N/A</definedName>
    <definedName name="Slicer_Months">#N/A</definedName>
    <definedName name="Slicer_Start_Date_Year">#N/A</definedName>
    <definedName name="Slicer_Start_Date_Year1">#N/A</definedName>
    <definedName name="Slicer_Start_Date_Year2">#N/A</definedName>
  </definedNames>
  <calcPr calcId="191029"/>
  <pivotCaches>
    <pivotCache cacheId="3"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 i="1" l="1"/>
  <c r="I75" i="1"/>
  <c r="H75" i="1"/>
  <c r="G75" i="1"/>
  <c r="F75" i="1"/>
  <c r="E75" i="1"/>
  <c r="T3" i="1"/>
  <c r="U3" i="1"/>
  <c r="V3" i="1"/>
  <c r="T4" i="1"/>
  <c r="U4" i="1"/>
  <c r="V4" i="1"/>
  <c r="T5" i="1"/>
  <c r="U5" i="1"/>
  <c r="V5" i="1"/>
  <c r="T6" i="1"/>
  <c r="U6" i="1"/>
  <c r="V6" i="1"/>
  <c r="T7" i="1"/>
  <c r="U7" i="1"/>
  <c r="V7" i="1"/>
  <c r="T8" i="1"/>
  <c r="U8" i="1"/>
  <c r="V8" i="1"/>
  <c r="T9" i="1"/>
  <c r="U9" i="1"/>
  <c r="V9" i="1"/>
  <c r="T10" i="1"/>
  <c r="U10" i="1"/>
  <c r="V10" i="1"/>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T27" i="1"/>
  <c r="U27" i="1"/>
  <c r="V27" i="1"/>
  <c r="T28" i="1"/>
  <c r="U28" i="1"/>
  <c r="V28" i="1"/>
  <c r="T29" i="1"/>
  <c r="U29" i="1"/>
  <c r="V29" i="1"/>
  <c r="T30" i="1"/>
  <c r="U30" i="1"/>
  <c r="V30" i="1"/>
  <c r="T31" i="1"/>
  <c r="U31" i="1"/>
  <c r="V31" i="1"/>
  <c r="T32" i="1"/>
  <c r="U32" i="1"/>
  <c r="V32" i="1"/>
  <c r="T33" i="1"/>
  <c r="U33" i="1"/>
  <c r="V33" i="1"/>
  <c r="T34" i="1"/>
  <c r="U34" i="1"/>
  <c r="V34" i="1"/>
  <c r="T35" i="1"/>
  <c r="U35" i="1"/>
  <c r="V35" i="1"/>
  <c r="T36" i="1"/>
  <c r="U36" i="1"/>
  <c r="V36" i="1"/>
  <c r="T37" i="1"/>
  <c r="U37" i="1"/>
  <c r="V37" i="1"/>
  <c r="T38" i="1"/>
  <c r="U38" i="1"/>
  <c r="V38" i="1"/>
  <c r="T39" i="1"/>
  <c r="U39" i="1"/>
  <c r="V39" i="1"/>
  <c r="T40" i="1"/>
  <c r="U40" i="1"/>
  <c r="V40" i="1"/>
  <c r="T41" i="1"/>
  <c r="U41" i="1"/>
  <c r="V41" i="1"/>
  <c r="T42" i="1"/>
  <c r="U42" i="1"/>
  <c r="V42" i="1"/>
  <c r="T43" i="1"/>
  <c r="U43" i="1"/>
  <c r="V43" i="1"/>
  <c r="T44" i="1"/>
  <c r="U44" i="1"/>
  <c r="V44" i="1"/>
  <c r="T45" i="1"/>
  <c r="U45" i="1"/>
  <c r="V45" i="1"/>
  <c r="T46" i="1"/>
  <c r="U46" i="1"/>
  <c r="V46" i="1"/>
  <c r="T47" i="1"/>
  <c r="U47" i="1"/>
  <c r="V47" i="1"/>
  <c r="T48" i="1"/>
  <c r="U48" i="1"/>
  <c r="V48" i="1"/>
  <c r="T49" i="1"/>
  <c r="U49" i="1"/>
  <c r="V49" i="1"/>
  <c r="T50" i="1"/>
  <c r="U50" i="1"/>
  <c r="V50" i="1"/>
  <c r="V2" i="1"/>
  <c r="U2"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2" i="1"/>
  <c r="N36" i="1"/>
  <c r="N37" i="1"/>
  <c r="N38" i="1"/>
  <c r="N39" i="1"/>
  <c r="N40" i="1"/>
  <c r="N41" i="1"/>
  <c r="N42" i="1"/>
  <c r="N43" i="1"/>
  <c r="N44" i="1"/>
  <c r="N45" i="1"/>
  <c r="N49" i="1"/>
  <c r="N50" i="1"/>
  <c r="M48" i="1"/>
  <c r="N48" i="1" s="1"/>
  <c r="M47" i="1"/>
  <c r="N47" i="1" s="1"/>
  <c r="L46" i="1"/>
  <c r="AA46" i="1" s="1"/>
  <c r="I46" i="1"/>
  <c r="E50" i="1"/>
  <c r="F50" i="1" s="1"/>
  <c r="F49" i="1"/>
  <c r="H49" i="1" s="1"/>
  <c r="J49" i="1" s="1"/>
  <c r="K49" i="1" s="1"/>
  <c r="F48" i="1"/>
  <c r="F47" i="1"/>
  <c r="H47" i="1" s="1"/>
  <c r="J47" i="1" s="1"/>
  <c r="K47" i="1" s="1"/>
  <c r="G46" i="1"/>
  <c r="E46" i="1"/>
  <c r="F46" i="1" s="1"/>
  <c r="F45" i="1"/>
  <c r="H45" i="1" s="1"/>
  <c r="J45" i="1" s="1"/>
  <c r="K45" i="1" s="1"/>
  <c r="F44" i="1"/>
  <c r="H44" i="1" s="1"/>
  <c r="J44" i="1" s="1"/>
  <c r="K44" i="1" s="1"/>
  <c r="F43" i="1"/>
  <c r="H43" i="1" s="1"/>
  <c r="J43" i="1" s="1"/>
  <c r="K43" i="1" s="1"/>
  <c r="F42" i="1"/>
  <c r="H42" i="1" s="1"/>
  <c r="J42" i="1" s="1"/>
  <c r="K42" i="1" s="1"/>
  <c r="F41" i="1"/>
  <c r="H41" i="1" s="1"/>
  <c r="J41" i="1" s="1"/>
  <c r="K41" i="1" s="1"/>
  <c r="F40" i="1"/>
  <c r="H40" i="1" s="1"/>
  <c r="J40" i="1" s="1"/>
  <c r="K40" i="1" s="1"/>
  <c r="F39" i="1"/>
  <c r="H39" i="1" s="1"/>
  <c r="J39" i="1" s="1"/>
  <c r="K39" i="1" s="1"/>
  <c r="E38" i="1"/>
  <c r="F37" i="1"/>
  <c r="H37" i="1" s="1"/>
  <c r="J37" i="1" s="1"/>
  <c r="K37" i="1" s="1"/>
  <c r="F36" i="1"/>
  <c r="H36" i="1" s="1"/>
  <c r="H48" i="1"/>
  <c r="J48" i="1" s="1"/>
  <c r="K48" i="1" s="1"/>
  <c r="Z36" i="1"/>
  <c r="Z37" i="1"/>
  <c r="Z38" i="1"/>
  <c r="Z39" i="1"/>
  <c r="Z40" i="1"/>
  <c r="Z41" i="1"/>
  <c r="Z42" i="1"/>
  <c r="Z43" i="1"/>
  <c r="Z44" i="1"/>
  <c r="Z45" i="1"/>
  <c r="Z49" i="1"/>
  <c r="Z50" i="1"/>
  <c r="AA36" i="1"/>
  <c r="AA37" i="1"/>
  <c r="AA38" i="1"/>
  <c r="AA39" i="1"/>
  <c r="AA40" i="1"/>
  <c r="AA41" i="1"/>
  <c r="AA42" i="1"/>
  <c r="AA43" i="1"/>
  <c r="AA44" i="1"/>
  <c r="AA45" i="1"/>
  <c r="AA47" i="1"/>
  <c r="AA48" i="1"/>
  <c r="AA49" i="1"/>
  <c r="AA50" i="1"/>
  <c r="Z46" i="1" l="1"/>
  <c r="N46" i="1"/>
  <c r="Z48" i="1"/>
  <c r="F38" i="1"/>
  <c r="H38" i="1" s="1"/>
  <c r="J38" i="1" s="1"/>
  <c r="K38" i="1" s="1"/>
  <c r="Z47" i="1"/>
  <c r="H50" i="1"/>
  <c r="J50" i="1" s="1"/>
  <c r="K50" i="1" s="1"/>
  <c r="H46" i="1"/>
  <c r="J46" i="1" s="1"/>
  <c r="K46" i="1" s="1"/>
  <c r="J36" i="1"/>
  <c r="K36" i="1" l="1"/>
  <c r="N35" i="1" l="1"/>
  <c r="N33" i="1"/>
  <c r="N30" i="1"/>
  <c r="N22" i="1"/>
  <c r="M28" i="1"/>
  <c r="M27" i="1"/>
  <c r="M26" i="1"/>
  <c r="M25" i="1"/>
  <c r="M24" i="1"/>
  <c r="M23" i="1"/>
  <c r="M21" i="1"/>
  <c r="M20" i="1"/>
  <c r="M19" i="1"/>
  <c r="M18" i="1"/>
  <c r="M17" i="1"/>
  <c r="M16" i="1"/>
  <c r="M15" i="1"/>
  <c r="M14" i="1"/>
  <c r="M13" i="1"/>
  <c r="M12" i="1"/>
  <c r="M11" i="1"/>
  <c r="M10" i="1"/>
  <c r="M9" i="1"/>
  <c r="M8" i="1"/>
  <c r="M7" i="1"/>
  <c r="M6" i="1"/>
  <c r="M5" i="1"/>
  <c r="M4" i="1"/>
  <c r="M3" i="1"/>
  <c r="L2" i="1"/>
  <c r="I6" i="1"/>
  <c r="F35" i="1"/>
  <c r="H35" i="1" s="1"/>
  <c r="J35" i="1" s="1"/>
  <c r="K35" i="1" s="1"/>
  <c r="F34" i="1"/>
  <c r="H34" i="1" s="1"/>
  <c r="J34" i="1" s="1"/>
  <c r="K34" i="1" s="1"/>
  <c r="G33" i="1"/>
  <c r="E33" i="1"/>
  <c r="F33" i="1" s="1"/>
  <c r="F32" i="1"/>
  <c r="H32" i="1" s="1"/>
  <c r="J32" i="1" s="1"/>
  <c r="K32" i="1" s="1"/>
  <c r="F31" i="1"/>
  <c r="H31" i="1" s="1"/>
  <c r="J31" i="1" s="1"/>
  <c r="K31" i="1" s="1"/>
  <c r="G30" i="1"/>
  <c r="E30" i="1"/>
  <c r="F29" i="1"/>
  <c r="H29" i="1" s="1"/>
  <c r="J29" i="1" s="1"/>
  <c r="K29" i="1" s="1"/>
  <c r="F28" i="1"/>
  <c r="H28" i="1" s="1"/>
  <c r="J28" i="1" s="1"/>
  <c r="K28" i="1" s="1"/>
  <c r="F27" i="1"/>
  <c r="H27" i="1" s="1"/>
  <c r="J27" i="1" s="1"/>
  <c r="K27" i="1" s="1"/>
  <c r="F26" i="1"/>
  <c r="H26" i="1" s="1"/>
  <c r="J26" i="1" s="1"/>
  <c r="K26" i="1" s="1"/>
  <c r="F25" i="1"/>
  <c r="H25" i="1" s="1"/>
  <c r="J25" i="1" s="1"/>
  <c r="K25" i="1" s="1"/>
  <c r="F24" i="1"/>
  <c r="H24" i="1" s="1"/>
  <c r="J24" i="1" s="1"/>
  <c r="K24" i="1" s="1"/>
  <c r="F23" i="1"/>
  <c r="H23" i="1" s="1"/>
  <c r="J23" i="1" s="1"/>
  <c r="K23" i="1" s="1"/>
  <c r="F22" i="1"/>
  <c r="H22" i="1" s="1"/>
  <c r="J22" i="1" s="1"/>
  <c r="K22" i="1" s="1"/>
  <c r="F21" i="1"/>
  <c r="H21" i="1" s="1"/>
  <c r="J21" i="1" s="1"/>
  <c r="K21" i="1" s="1"/>
  <c r="F20" i="1"/>
  <c r="H20" i="1" s="1"/>
  <c r="J20" i="1" s="1"/>
  <c r="K20" i="1" s="1"/>
  <c r="F19" i="1"/>
  <c r="H19" i="1" s="1"/>
  <c r="J19" i="1" s="1"/>
  <c r="K19" i="1" s="1"/>
  <c r="G18" i="1"/>
  <c r="E18" i="1"/>
  <c r="F18" i="1" s="1"/>
  <c r="F17" i="1"/>
  <c r="H17" i="1" s="1"/>
  <c r="J17" i="1" s="1"/>
  <c r="K17" i="1" s="1"/>
  <c r="F16" i="1"/>
  <c r="H16" i="1" s="1"/>
  <c r="J16" i="1" s="1"/>
  <c r="K16" i="1" s="1"/>
  <c r="F15" i="1"/>
  <c r="H15" i="1" s="1"/>
  <c r="J15" i="1" s="1"/>
  <c r="K15" i="1" s="1"/>
  <c r="F14" i="1"/>
  <c r="H14" i="1" s="1"/>
  <c r="J14" i="1" s="1"/>
  <c r="K14" i="1" s="1"/>
  <c r="F13" i="1"/>
  <c r="H13" i="1" s="1"/>
  <c r="J13" i="1" s="1"/>
  <c r="K13" i="1" s="1"/>
  <c r="F12" i="1"/>
  <c r="H12" i="1" s="1"/>
  <c r="J12" i="1" s="1"/>
  <c r="K12" i="1" s="1"/>
  <c r="F11" i="1"/>
  <c r="H11" i="1" s="1"/>
  <c r="J11" i="1" s="1"/>
  <c r="K11" i="1" s="1"/>
  <c r="F10" i="1"/>
  <c r="H10" i="1" s="1"/>
  <c r="J10" i="1" s="1"/>
  <c r="K10" i="1" s="1"/>
  <c r="F9" i="1"/>
  <c r="H9" i="1" s="1"/>
  <c r="J9" i="1" s="1"/>
  <c r="K9" i="1" s="1"/>
  <c r="G8" i="1"/>
  <c r="E8" i="1"/>
  <c r="F7" i="1"/>
  <c r="H7" i="1" s="1"/>
  <c r="J7" i="1" s="1"/>
  <c r="K7" i="1" s="1"/>
  <c r="E6" i="1"/>
  <c r="F5" i="1"/>
  <c r="H5" i="1" s="1"/>
  <c r="J5" i="1" s="1"/>
  <c r="K5" i="1" s="1"/>
  <c r="F4" i="1"/>
  <c r="H4" i="1" s="1"/>
  <c r="J4" i="1" s="1"/>
  <c r="K4" i="1" s="1"/>
  <c r="F3" i="1"/>
  <c r="H3" i="1" s="1"/>
  <c r="J3" i="1" s="1"/>
  <c r="K3" i="1" s="1"/>
  <c r="G2" i="1"/>
  <c r="F2" i="1"/>
  <c r="Z29" i="1"/>
  <c r="Z30" i="1"/>
  <c r="Z31" i="1"/>
  <c r="Z32" i="1"/>
  <c r="Z33" i="1"/>
  <c r="Z34" i="1"/>
  <c r="Z35" i="1"/>
  <c r="AA29" i="1"/>
  <c r="AA30" i="1"/>
  <c r="AA31" i="1"/>
  <c r="AA32" i="1"/>
  <c r="AA33" i="1"/>
  <c r="AA34" i="1"/>
  <c r="AA35" i="1"/>
  <c r="H33" i="1" l="1"/>
  <c r="J33" i="1" s="1"/>
  <c r="K33" i="1" s="1"/>
  <c r="M2" i="1"/>
  <c r="L77" i="1"/>
  <c r="L75" i="1"/>
  <c r="W33" i="1" s="1"/>
  <c r="L78" i="1"/>
  <c r="N75" i="1"/>
  <c r="Y32" i="1" s="1"/>
  <c r="N78" i="1"/>
  <c r="N77" i="1"/>
  <c r="E77" i="1"/>
  <c r="E78" i="1"/>
  <c r="G77" i="1"/>
  <c r="G78" i="1"/>
  <c r="AA2" i="1"/>
  <c r="F8" i="1"/>
  <c r="H8" i="1" s="1"/>
  <c r="J8" i="1" s="1"/>
  <c r="K8" i="1" s="1"/>
  <c r="H18" i="1"/>
  <c r="J18" i="1" s="1"/>
  <c r="K18" i="1" s="1"/>
  <c r="F30" i="1"/>
  <c r="H30" i="1" s="1"/>
  <c r="J30" i="1" s="1"/>
  <c r="K30" i="1" s="1"/>
  <c r="F6" i="1"/>
  <c r="F78" i="1" l="1"/>
  <c r="Y29" i="1"/>
  <c r="W29" i="1"/>
  <c r="W30" i="1"/>
  <c r="W31" i="1"/>
  <c r="Y35" i="1"/>
  <c r="Y30" i="1"/>
  <c r="Y33" i="1"/>
  <c r="F77" i="1"/>
  <c r="Y45" i="1"/>
  <c r="Y37" i="1"/>
  <c r="Y43" i="1"/>
  <c r="Y39" i="1"/>
  <c r="Y41" i="1"/>
  <c r="Y49" i="1"/>
  <c r="Y47" i="1"/>
  <c r="Y44" i="1"/>
  <c r="Y46" i="1"/>
  <c r="Y42" i="1"/>
  <c r="Y36" i="1"/>
  <c r="Y48" i="1"/>
  <c r="Y50" i="1"/>
  <c r="Y40" i="1"/>
  <c r="Y38" i="1"/>
  <c r="W38" i="1"/>
  <c r="W39" i="1"/>
  <c r="W47" i="1"/>
  <c r="W40" i="1"/>
  <c r="W48" i="1"/>
  <c r="W37" i="1"/>
  <c r="W45" i="1"/>
  <c r="W41" i="1"/>
  <c r="W49" i="1"/>
  <c r="W42" i="1"/>
  <c r="W50" i="1"/>
  <c r="W43" i="1"/>
  <c r="W36" i="1"/>
  <c r="W44" i="1"/>
  <c r="W46" i="1"/>
  <c r="W34" i="1"/>
  <c r="W35" i="1"/>
  <c r="W32" i="1"/>
  <c r="Y31" i="1"/>
  <c r="Y34" i="1"/>
  <c r="M75" i="1"/>
  <c r="X31" i="1" s="1"/>
  <c r="M77" i="1"/>
  <c r="M78" i="1"/>
  <c r="H6" i="1"/>
  <c r="J6" i="1" s="1"/>
  <c r="K6" i="1" s="1"/>
  <c r="X33" i="1" l="1"/>
  <c r="X29" i="1"/>
  <c r="X30" i="1"/>
  <c r="X37" i="1"/>
  <c r="X45" i="1"/>
  <c r="X38" i="1"/>
  <c r="X46" i="1"/>
  <c r="X36" i="1"/>
  <c r="X39" i="1"/>
  <c r="X44" i="1"/>
  <c r="X40" i="1"/>
  <c r="X41" i="1"/>
  <c r="X49" i="1"/>
  <c r="X42" i="1"/>
  <c r="X50" i="1"/>
  <c r="X43" i="1"/>
  <c r="X48" i="1"/>
  <c r="X47" i="1"/>
  <c r="X32" i="1"/>
  <c r="X34" i="1"/>
  <c r="X35" i="1"/>
  <c r="Z28" i="1"/>
  <c r="Z26" i="1"/>
  <c r="Z25" i="1"/>
  <c r="AA25" i="1"/>
  <c r="AA26" i="1"/>
  <c r="AA27" i="1"/>
  <c r="AA28" i="1"/>
  <c r="AA3" i="1"/>
  <c r="AA4" i="1"/>
  <c r="AA5" i="1"/>
  <c r="AA6" i="1"/>
  <c r="AA7" i="1"/>
  <c r="AA8" i="1"/>
  <c r="AA9" i="1"/>
  <c r="AA10" i="1"/>
  <c r="AA11" i="1"/>
  <c r="AA12" i="1"/>
  <c r="AA13" i="1"/>
  <c r="AA14" i="1"/>
  <c r="AA15" i="1"/>
  <c r="AA16" i="1"/>
  <c r="AA17" i="1"/>
  <c r="AA18" i="1"/>
  <c r="AA19" i="1"/>
  <c r="AA20" i="1"/>
  <c r="AA21" i="1"/>
  <c r="AA22" i="1"/>
  <c r="AA23" i="1"/>
  <c r="AA24" i="1"/>
  <c r="Z27" i="1" l="1"/>
  <c r="Z24" i="1"/>
  <c r="Z23" i="1"/>
  <c r="Z21" i="1"/>
  <c r="Z20" i="1"/>
  <c r="Z19" i="1"/>
  <c r="Z18" i="1"/>
  <c r="Z17" i="1"/>
  <c r="Z16" i="1"/>
  <c r="Z12" i="1"/>
  <c r="Z11" i="1"/>
  <c r="Z10" i="1"/>
  <c r="Z9" i="1"/>
  <c r="Z8" i="1"/>
  <c r="Z7" i="1"/>
  <c r="Z6" i="1"/>
  <c r="Z5" i="1"/>
  <c r="Z4" i="1"/>
  <c r="Z3" i="1"/>
  <c r="Z15" i="1"/>
  <c r="D11" i="2"/>
  <c r="Z22" i="1" l="1"/>
  <c r="Y2" i="1"/>
  <c r="W18" i="1"/>
  <c r="H2" i="1"/>
  <c r="W23" i="1"/>
  <c r="Y5" i="1"/>
  <c r="Z14" i="1"/>
  <c r="Z13" i="1"/>
  <c r="H77" i="1" l="1"/>
  <c r="H78" i="1"/>
  <c r="J2" i="1"/>
  <c r="Y7" i="1"/>
  <c r="Y19" i="1"/>
  <c r="Y3" i="1"/>
  <c r="W16" i="1"/>
  <c r="W2" i="1"/>
  <c r="Y26" i="1"/>
  <c r="Y27" i="1"/>
  <c r="Y28" i="1"/>
  <c r="Y25" i="1"/>
  <c r="Y16" i="1"/>
  <c r="Y23" i="1"/>
  <c r="Y10" i="1"/>
  <c r="Y24" i="1"/>
  <c r="Y20" i="1"/>
  <c r="Y9" i="1"/>
  <c r="Y17" i="1"/>
  <c r="Y6" i="1"/>
  <c r="Y11" i="1"/>
  <c r="Y8" i="1"/>
  <c r="Y21" i="1"/>
  <c r="W26" i="1"/>
  <c r="W27" i="1"/>
  <c r="W28" i="1"/>
  <c r="W25" i="1"/>
  <c r="Y13" i="1"/>
  <c r="Z2" i="1"/>
  <c r="X16" i="1"/>
  <c r="Y4" i="1"/>
  <c r="Y14" i="1"/>
  <c r="Y22" i="1"/>
  <c r="Y12" i="1"/>
  <c r="Y18" i="1"/>
  <c r="Y15" i="1"/>
  <c r="W21" i="1"/>
  <c r="W15" i="1"/>
  <c r="W24" i="1"/>
  <c r="W19" i="1"/>
  <c r="W20" i="1"/>
  <c r="W22" i="1"/>
  <c r="W17" i="1"/>
  <c r="X21" i="1"/>
  <c r="X20" i="1"/>
  <c r="X18" i="1"/>
  <c r="X17" i="1"/>
  <c r="W7" i="1"/>
  <c r="W10" i="1"/>
  <c r="W13" i="1"/>
  <c r="W4" i="1"/>
  <c r="W8" i="1"/>
  <c r="W11" i="1"/>
  <c r="W14" i="1"/>
  <c r="W5" i="1"/>
  <c r="W3" i="1"/>
  <c r="W6" i="1"/>
  <c r="W9" i="1"/>
  <c r="W12" i="1"/>
  <c r="H79" i="1" l="1"/>
  <c r="Z77" i="1"/>
  <c r="Z78" i="1"/>
  <c r="K2" i="1"/>
  <c r="J77" i="1"/>
  <c r="J78" i="1"/>
  <c r="Y75" i="1"/>
  <c r="Z79" i="1"/>
  <c r="N79" i="1"/>
  <c r="F79" i="1"/>
  <c r="W75" i="1"/>
  <c r="L79" i="1"/>
  <c r="G79" i="1"/>
  <c r="E79" i="1"/>
  <c r="J79" i="1"/>
  <c r="X26" i="1"/>
  <c r="X28" i="1"/>
  <c r="X27" i="1"/>
  <c r="X25" i="1"/>
  <c r="Z80" i="1"/>
  <c r="X19" i="1"/>
  <c r="X22" i="1"/>
  <c r="X24" i="1"/>
  <c r="X23" i="1"/>
  <c r="X15" i="1"/>
  <c r="X7" i="1"/>
  <c r="X4" i="1"/>
  <c r="X8" i="1"/>
  <c r="X11" i="1"/>
  <c r="X12" i="1"/>
  <c r="X3" i="1"/>
  <c r="X13" i="1"/>
  <c r="X14" i="1"/>
  <c r="X6" i="1"/>
  <c r="X5" i="1"/>
  <c r="X10" i="1"/>
  <c r="X9" i="1"/>
  <c r="X2" i="1"/>
  <c r="K78" i="1" l="1"/>
  <c r="K77" i="1"/>
  <c r="K79" i="1"/>
  <c r="X75" i="1"/>
  <c r="M79" i="1"/>
</calcChain>
</file>

<file path=xl/sharedStrings.xml><?xml version="1.0" encoding="utf-8"?>
<sst xmlns="http://schemas.openxmlformats.org/spreadsheetml/2006/main" count="450" uniqueCount="146">
  <si>
    <t>Client Name</t>
  </si>
  <si>
    <t>Basic Premium</t>
  </si>
  <si>
    <t>5% CBHI</t>
  </si>
  <si>
    <t>Admin fees</t>
  </si>
  <si>
    <t>Total Premium</t>
  </si>
  <si>
    <t>Dependents</t>
  </si>
  <si>
    <t>Total lives</t>
  </si>
  <si>
    <t>CHANCEN INTERNATIONAL RWANDA</t>
  </si>
  <si>
    <t>JASIRI SIMBA COHORT</t>
  </si>
  <si>
    <t>NEVER AGAIN RWANDA</t>
  </si>
  <si>
    <t>CNR TRANSPORT LTD</t>
  </si>
  <si>
    <t>TESTSOLUTIONS RWANDA LTD</t>
  </si>
  <si>
    <t>VUBA VUBA AFRICA LTD</t>
  </si>
  <si>
    <t>END DATE</t>
  </si>
  <si>
    <t>Total insured Premium</t>
  </si>
  <si>
    <t>Fund Amount</t>
  </si>
  <si>
    <t>Cover Type</t>
  </si>
  <si>
    <t>Insured</t>
  </si>
  <si>
    <t>Fund</t>
  </si>
  <si>
    <t>C Z RWANDA LTD</t>
  </si>
  <si>
    <t>Intermediary</t>
  </si>
  <si>
    <t>Average Number of Dependents per Employee</t>
  </si>
  <si>
    <t>Row Labels</t>
  </si>
  <si>
    <t>Grand Total</t>
  </si>
  <si>
    <t>Feb</t>
  </si>
  <si>
    <t>Mar</t>
  </si>
  <si>
    <t>Apr</t>
  </si>
  <si>
    <t>May</t>
  </si>
  <si>
    <t>Sum of Total lives</t>
  </si>
  <si>
    <t>CLIENTS</t>
  </si>
  <si>
    <t>FAMILY SIZE</t>
  </si>
  <si>
    <t>M</t>
  </si>
  <si>
    <t>M+1</t>
  </si>
  <si>
    <t>M+2</t>
  </si>
  <si>
    <t>M+3</t>
  </si>
  <si>
    <t>M+4</t>
  </si>
  <si>
    <t>M+5</t>
  </si>
  <si>
    <t>M+6</t>
  </si>
  <si>
    <t>M+7</t>
  </si>
  <si>
    <t>M+8</t>
  </si>
  <si>
    <t>M+9</t>
  </si>
  <si>
    <t>M+10</t>
  </si>
  <si>
    <t>CHANCEN INTERNATIONAL</t>
  </si>
  <si>
    <t>PREMIUM</t>
  </si>
  <si>
    <t>No. OF FAMILIES</t>
  </si>
  <si>
    <t>PREMIUM CAT 1</t>
  </si>
  <si>
    <t>PREMIUM CAT 2</t>
  </si>
  <si>
    <t>Weight by Total Lives</t>
  </si>
  <si>
    <t>Weight by Staff</t>
  </si>
  <si>
    <t>Weight by Dependents</t>
  </si>
  <si>
    <t>RUTINDUKANAMUREGO ROGER MARC</t>
  </si>
  <si>
    <t>NIYONSHUTI LAMBERT</t>
  </si>
  <si>
    <t>RWANDA BANKERS ASSOCIATION</t>
  </si>
  <si>
    <t>YLABS STUDIO LTD</t>
  </si>
  <si>
    <t>ID</t>
  </si>
  <si>
    <t>Direct</t>
  </si>
  <si>
    <t>Broker</t>
  </si>
  <si>
    <t>Agent</t>
  </si>
  <si>
    <t>BAZIRA JEAN LEON HERTIER</t>
  </si>
  <si>
    <t>ISHUSHO Limited</t>
  </si>
  <si>
    <t>EDPU AFRICA Limited</t>
  </si>
  <si>
    <t>BALLISTIC BURGERS LTD</t>
  </si>
  <si>
    <t>MARIUS KAMUGISHA</t>
  </si>
  <si>
    <t>START DATE</t>
  </si>
  <si>
    <t>Jun</t>
  </si>
  <si>
    <t>Jul</t>
  </si>
  <si>
    <t>Aug</t>
  </si>
  <si>
    <t>Sep</t>
  </si>
  <si>
    <t>Oct</t>
  </si>
  <si>
    <t>Total</t>
  </si>
  <si>
    <t>Average</t>
  </si>
  <si>
    <t>Median</t>
  </si>
  <si>
    <t>Weighted Average</t>
  </si>
  <si>
    <t>No. of Principal Member</t>
  </si>
  <si>
    <t>Total No. of Principal Member</t>
  </si>
  <si>
    <t>Total No. of Dependents</t>
  </si>
  <si>
    <t>Total Basic Premium</t>
  </si>
  <si>
    <t>Monthly New Lives</t>
  </si>
  <si>
    <t>Monthly New Basic Premium</t>
  </si>
  <si>
    <t>Monthly Total Insured Premium</t>
  </si>
  <si>
    <t>Column Labels</t>
  </si>
  <si>
    <t>YTD Total Insured Premium</t>
  </si>
  <si>
    <t>YTD Total Lives Covered</t>
  </si>
  <si>
    <t>Number of Employees</t>
  </si>
  <si>
    <t>Client Category</t>
  </si>
  <si>
    <t>University</t>
  </si>
  <si>
    <t>Whales</t>
  </si>
  <si>
    <t>Elephants</t>
  </si>
  <si>
    <t>Tigers</t>
  </si>
  <si>
    <t>Hares</t>
  </si>
  <si>
    <t>Client Segment</t>
  </si>
  <si>
    <t>Average Premium per Principal Member</t>
  </si>
  <si>
    <t>Client Total of Insured Premium</t>
  </si>
  <si>
    <t>Count of Client Segment</t>
  </si>
  <si>
    <t>Total Insured Premium by Segment</t>
  </si>
  <si>
    <t>Average Insured Premium per Principal Member</t>
  </si>
  <si>
    <t>YTD Lives Covered</t>
  </si>
  <si>
    <t>YTD Principal Member Lives by Segment</t>
  </si>
  <si>
    <t>YTD Dependent Lives Covered</t>
  </si>
  <si>
    <t>Calculated Average Number of Dependents per Employee</t>
  </si>
  <si>
    <t>Average of Average Number of Dependents per Employee</t>
  </si>
  <si>
    <t>FAITH MBABAZI (Norrsken Pool)</t>
  </si>
  <si>
    <t>FEMINIST ACTION DEVELOPMENT AMBITION</t>
  </si>
  <si>
    <t>CZ RWANDA LTD</t>
  </si>
  <si>
    <t>Three Stones International Rwanda Ltd</t>
  </si>
  <si>
    <t>FONDATION PAUL GERIN-LAJOIE</t>
  </si>
  <si>
    <t xml:space="preserve">KFW </t>
  </si>
  <si>
    <t>ICDL AFRICA LTD</t>
  </si>
  <si>
    <t>AFRICAN LEADERSHIP UNIVERSITY LTD</t>
  </si>
  <si>
    <t>TEK EXPERTS RWANDA LTD</t>
  </si>
  <si>
    <t>COMZAFRICA RWANDA LIMITED</t>
  </si>
  <si>
    <t xml:space="preserve">Insured </t>
  </si>
  <si>
    <t>DOVE INTERNATIONAL MONTESSORI SCHOOL Ltd</t>
  </si>
  <si>
    <t>GARDAWORLD (RWANDA) Ltd</t>
  </si>
  <si>
    <t>NSENGIYUMVA VINCENT</t>
  </si>
  <si>
    <t>KIVU CHOICE LIMITED</t>
  </si>
  <si>
    <t>ACME TECHNOLOGIES LTD</t>
  </si>
  <si>
    <t>RON WEISS</t>
  </si>
  <si>
    <t>STRADH Ltd - B</t>
  </si>
  <si>
    <t>NIYITANGA KWIZERA SYLVIE</t>
  </si>
  <si>
    <t>COMMUNITY BASED SOCIOTHERAPY</t>
  </si>
  <si>
    <t>Nov</t>
  </si>
  <si>
    <t>Dec</t>
  </si>
  <si>
    <t>V_0   Employees</t>
  </si>
  <si>
    <t>PLASTIC SURGERY AND BEAUTY CLINICS</t>
  </si>
  <si>
    <t>PROSPER NSENGIYUMVA</t>
  </si>
  <si>
    <t>AURA ENTERPRISES LTD</t>
  </si>
  <si>
    <t>AXIOM NETWORKS LTD</t>
  </si>
  <si>
    <t>JOSUE IBULUNGU</t>
  </si>
  <si>
    <t>UMUGISHA KWIZERA LILIOSE</t>
  </si>
  <si>
    <t>PRIME BIODIVERSITY CONSERVATION</t>
  </si>
  <si>
    <t>UWABEZA FAUSTA</t>
  </si>
  <si>
    <t>ESPARTNERS</t>
  </si>
  <si>
    <t>UNLOCK IMPACT Ltd</t>
  </si>
  <si>
    <t>KIVU CHOICE LTD-FUND</t>
  </si>
  <si>
    <t>Insured/Ren</t>
  </si>
  <si>
    <t>MIGHTY ENGINEERING</t>
  </si>
  <si>
    <t>OPENFIELD RWANDA Limited</t>
  </si>
  <si>
    <t>CHALLENGES RWANDA</t>
  </si>
  <si>
    <t>Jan</t>
  </si>
  <si>
    <t>Start Date Month</t>
  </si>
  <si>
    <t>Start Date Year</t>
  </si>
  <si>
    <t>Start Date Day</t>
  </si>
  <si>
    <t>End Date Year</t>
  </si>
  <si>
    <t>End Date Month</t>
  </si>
  <si>
    <t>End Date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</si>
</sst>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RWF]\ #,##0"/>
    <numFmt numFmtId="166" formatCode="[$RWF]\ #,##0.00"/>
    <numFmt numFmtId="167" formatCode="yyyy\-mm\-dd;@"/>
  </numFmts>
  <fonts count="8" x14ac:knownFonts="1">
    <font>
      <sz val="11"/>
      <color theme="1"/>
      <name val="Calibri"/>
      <family val="2"/>
      <scheme val="minor"/>
    </font>
    <font>
      <sz val="11"/>
      <color theme="1"/>
      <name val="Calibri"/>
      <family val="2"/>
      <scheme val="minor"/>
    </font>
    <font>
      <b/>
      <sz val="11"/>
      <color theme="1"/>
      <name val="Century Gothic"/>
      <family val="2"/>
    </font>
    <font>
      <sz val="11"/>
      <color theme="1"/>
      <name val="Century Gothic"/>
      <family val="2"/>
    </font>
    <font>
      <sz val="10"/>
      <color theme="0"/>
      <name val="Arial"/>
      <family val="2"/>
    </font>
    <font>
      <sz val="10"/>
      <color theme="1"/>
      <name val="Arial"/>
      <family val="2"/>
    </font>
    <font>
      <b/>
      <sz val="11"/>
      <color theme="1"/>
      <name val="Calibri"/>
      <family val="2"/>
      <scheme val="minor"/>
    </font>
    <font>
      <b/>
      <sz val="11"/>
      <color theme="0"/>
      <name val="Century Gothic"/>
      <family val="2"/>
    </font>
  </fonts>
  <fills count="5">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3" fillId="0" borderId="0" xfId="0" applyFont="1" applyAlignment="1">
      <alignment vertical="center"/>
    </xf>
    <xf numFmtId="0" fontId="3" fillId="0" borderId="0" xfId="0" applyFont="1"/>
    <xf numFmtId="164" fontId="0" fillId="0" borderId="0" xfId="1" applyNumberFormat="1" applyFont="1"/>
    <xf numFmtId="164" fontId="0" fillId="0" borderId="0" xfId="0" applyNumberFormat="1"/>
    <xf numFmtId="9" fontId="0" fillId="0" borderId="0" xfId="2" applyFont="1"/>
    <xf numFmtId="2" fontId="3"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4" fillId="2" borderId="1" xfId="0" applyFont="1" applyFill="1" applyBorder="1"/>
    <xf numFmtId="0" fontId="5" fillId="0" borderId="1" xfId="0" applyFont="1" applyBorder="1"/>
    <xf numFmtId="164" fontId="5" fillId="0" borderId="1" xfId="1" applyNumberFormat="1" applyFont="1" applyBorder="1"/>
    <xf numFmtId="0" fontId="5" fillId="3" borderId="1" xfId="0" applyFont="1" applyFill="1" applyBorder="1"/>
    <xf numFmtId="164" fontId="3" fillId="0" borderId="0" xfId="1" applyNumberFormat="1" applyFont="1"/>
    <xf numFmtId="9" fontId="0" fillId="0" borderId="0" xfId="2" applyFont="1" applyAlignment="1">
      <alignment wrapText="1"/>
    </xf>
    <xf numFmtId="0" fontId="0" fillId="0" borderId="0" xfId="0" applyAlignment="1">
      <alignment wrapText="1"/>
    </xf>
    <xf numFmtId="9" fontId="0" fillId="0" borderId="0" xfId="0" applyNumberFormat="1" applyAlignment="1">
      <alignment wrapText="1"/>
    </xf>
    <xf numFmtId="164" fontId="3" fillId="0" borderId="0" xfId="1" applyNumberFormat="1" applyFont="1" applyBorder="1"/>
    <xf numFmtId="14" fontId="3" fillId="0" borderId="0" xfId="0" applyNumberFormat="1" applyFont="1"/>
    <xf numFmtId="2" fontId="0" fillId="0" borderId="0" xfId="0" applyNumberFormat="1"/>
    <xf numFmtId="43" fontId="0" fillId="0" borderId="0" xfId="1" applyFont="1"/>
    <xf numFmtId="164" fontId="3" fillId="0" borderId="1" xfId="1" applyNumberFormat="1" applyFont="1" applyFill="1" applyBorder="1"/>
    <xf numFmtId="0" fontId="6" fillId="0" borderId="0" xfId="0" applyFont="1"/>
    <xf numFmtId="0" fontId="2" fillId="0" borderId="6" xfId="0" applyFont="1" applyBorder="1" applyAlignment="1">
      <alignment vertical="center"/>
    </xf>
    <xf numFmtId="0" fontId="2" fillId="0" borderId="4" xfId="0" applyFont="1" applyBorder="1" applyAlignment="1">
      <alignment vertical="center"/>
    </xf>
    <xf numFmtId="164" fontId="2" fillId="0" borderId="4" xfId="1" applyNumberFormat="1" applyFont="1" applyFill="1" applyBorder="1" applyAlignment="1">
      <alignment vertical="center"/>
    </xf>
    <xf numFmtId="14" fontId="2" fillId="0" borderId="4" xfId="0" applyNumberFormat="1" applyFont="1" applyBorder="1" applyAlignment="1">
      <alignment vertical="center"/>
    </xf>
    <xf numFmtId="0" fontId="3" fillId="0" borderId="4" xfId="0" applyFont="1" applyBorder="1" applyAlignment="1">
      <alignment vertical="center" wrapText="1"/>
    </xf>
    <xf numFmtId="0" fontId="3" fillId="0" borderId="7" xfId="0" applyFont="1" applyBorder="1" applyAlignment="1">
      <alignment vertical="center"/>
    </xf>
    <xf numFmtId="0" fontId="3" fillId="0" borderId="1" xfId="0" applyFont="1" applyBorder="1"/>
    <xf numFmtId="2" fontId="3" fillId="0" borderId="8" xfId="0" applyNumberFormat="1" applyFont="1" applyBorder="1"/>
    <xf numFmtId="0" fontId="3" fillId="0" borderId="2" xfId="0" applyFont="1" applyBorder="1"/>
    <xf numFmtId="2" fontId="3" fillId="0" borderId="9" xfId="0" applyNumberFormat="1" applyFont="1" applyBorder="1"/>
    <xf numFmtId="3" fontId="0" fillId="0" borderId="0" xfId="0" applyNumberFormat="1"/>
    <xf numFmtId="165" fontId="0" fillId="0" borderId="0" xfId="0" applyNumberFormat="1"/>
    <xf numFmtId="166" fontId="0" fillId="0" borderId="0" xfId="0" applyNumberFormat="1"/>
    <xf numFmtId="1" fontId="0" fillId="0" borderId="0" xfId="0" applyNumberFormat="1"/>
    <xf numFmtId="14" fontId="2" fillId="0" borderId="4" xfId="0" applyNumberFormat="1" applyFont="1" applyBorder="1" applyAlignment="1">
      <alignment vertical="center" wrapText="1"/>
    </xf>
    <xf numFmtId="10" fontId="0" fillId="0" borderId="1" xfId="2" applyNumberFormat="1" applyFont="1" applyFill="1" applyBorder="1" applyAlignment="1">
      <alignment wrapText="1"/>
    </xf>
    <xf numFmtId="10" fontId="0" fillId="0" borderId="1" xfId="2" applyNumberFormat="1" applyFont="1" applyFill="1" applyBorder="1"/>
    <xf numFmtId="10" fontId="0" fillId="0" borderId="2" xfId="2" applyNumberFormat="1" applyFont="1" applyFill="1" applyBorder="1" applyAlignment="1">
      <alignment wrapText="1"/>
    </xf>
    <xf numFmtId="10" fontId="0" fillId="0" borderId="2" xfId="2" applyNumberFormat="1" applyFont="1" applyFill="1" applyBorder="1"/>
    <xf numFmtId="4" fontId="6" fillId="0" borderId="5" xfId="0" applyNumberFormat="1" applyFont="1" applyBorder="1"/>
    <xf numFmtId="10" fontId="0" fillId="0" borderId="0" xfId="0" applyNumberFormat="1"/>
    <xf numFmtId="164" fontId="3" fillId="0" borderId="0" xfId="1" applyNumberFormat="1" applyFont="1" applyFill="1" applyBorder="1"/>
    <xf numFmtId="10" fontId="0" fillId="0" borderId="0" xfId="2" applyNumberFormat="1" applyFont="1" applyFill="1" applyBorder="1" applyAlignment="1">
      <alignment wrapText="1"/>
    </xf>
    <xf numFmtId="10" fontId="0" fillId="0" borderId="0" xfId="2" applyNumberFormat="1" applyFont="1" applyFill="1" applyBorder="1"/>
    <xf numFmtId="0" fontId="7" fillId="4" borderId="1" xfId="0" applyFont="1" applyFill="1" applyBorder="1" applyAlignment="1">
      <alignment vertical="center"/>
    </xf>
    <xf numFmtId="164" fontId="3" fillId="0" borderId="1" xfId="1" applyNumberFormat="1" applyFont="1" applyBorder="1"/>
    <xf numFmtId="0" fontId="3" fillId="0" borderId="1" xfId="1" applyNumberFormat="1" applyFont="1" applyFill="1" applyBorder="1"/>
    <xf numFmtId="167" fontId="3" fillId="0" borderId="1" xfId="0" applyNumberFormat="1" applyFont="1" applyBorder="1"/>
    <xf numFmtId="167" fontId="3" fillId="0" borderId="0" xfId="0" applyNumberFormat="1" applyFont="1"/>
    <xf numFmtId="164" fontId="3" fillId="0" borderId="2" xfId="1" applyNumberFormat="1" applyFont="1" applyFill="1" applyBorder="1"/>
    <xf numFmtId="1" fontId="3" fillId="0" borderId="1" xfId="1" applyNumberFormat="1"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1" xfId="0" applyFont="1" applyBorder="1" applyAlignment="1">
      <alignment horizontal="center"/>
    </xf>
    <xf numFmtId="0" fontId="0" fillId="0" borderId="0" xfId="0" applyNumberFormat="1"/>
  </cellXfs>
  <cellStyles count="3">
    <cellStyle name="Comma" xfId="1" builtinId="3"/>
    <cellStyle name="Normal" xfId="0" builtinId="0"/>
    <cellStyle name="Per cent" xfId="2" builtinId="5"/>
  </cellStyles>
  <dxfs count="31">
    <dxf>
      <numFmt numFmtId="0" formatCode="General"/>
      <fill>
        <patternFill patternType="none">
          <fgColor indexed="64"/>
          <bgColor auto="1"/>
        </patternFill>
      </fill>
    </dxf>
    <dxf>
      <font>
        <b val="0"/>
        <i val="0"/>
        <strike val="0"/>
        <condense val="0"/>
        <extend val="0"/>
        <outline val="0"/>
        <shadow val="0"/>
        <u val="none"/>
        <vertAlign val="baseline"/>
        <sz val="11"/>
        <color theme="1"/>
        <name val="Century Gothic"/>
        <family val="2"/>
        <scheme val="none"/>
      </font>
      <numFmt numFmtId="2" formatCode="0.00"/>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7" formatCode="yyyy\-mm\-dd;@"/>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val="0"/>
        <i val="0"/>
        <strike val="0"/>
        <condense val="0"/>
        <extend val="0"/>
        <outline val="0"/>
        <shadow val="0"/>
        <u val="none"/>
        <vertAlign val="baseline"/>
        <sz val="11"/>
        <color theme="1"/>
        <name val="Century Gothic"/>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4.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updated.xlsx]Closed_YTD_Premium!PivotTable1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YTD Total</a:t>
            </a:r>
            <a:r>
              <a:rPr lang="en-GB" baseline="0"/>
              <a:t> Insured Premium</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Closed_YTD_Premium!$A$1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Closed_YTD_Premium!$A$2</c:f>
              <c:strCache>
                <c:ptCount val="1"/>
                <c:pt idx="0">
                  <c:v>Total</c:v>
                </c:pt>
              </c:strCache>
            </c:strRef>
          </c:cat>
          <c:val>
            <c:numRef>
              <c:f>Closed_YTD_Premium!$A$2</c:f>
              <c:numCache>
                <c:formatCode>[$RWF]\ #,##0</c:formatCode>
                <c:ptCount val="1"/>
                <c:pt idx="0">
                  <c:v>824848636.87731361</c:v>
                </c:pt>
              </c:numCache>
            </c:numRef>
          </c:val>
          <c:extLst>
            <c:ext xmlns:c16="http://schemas.microsoft.com/office/drawing/2014/chart" uri="{C3380CC4-5D6E-409C-BE32-E72D297353CC}">
              <c16:uniqueId val="{00000000-1269-BB4C-B9D2-31CABA4B5E17}"/>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1"/>
        <c:axPos val="b"/>
        <c:numFmt formatCode="General" sourceLinked="1"/>
        <c:majorTickMark val="none"/>
        <c:minorTickMark val="none"/>
        <c:tickLblPos val="nextTo"/>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RWF]\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updated.xlsx]Monthly_Lives_Channel!PivotTable1</c:name>
    <c:fmtId val="2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Monthly_Lives_Channel!$B$1:$B$2</c:f>
              <c:strCache>
                <c:ptCount val="1"/>
                <c:pt idx="0">
                  <c:v>Agent</c:v>
                </c:pt>
              </c:strCache>
            </c:strRef>
          </c:tx>
          <c:spPr>
            <a:solidFill>
              <a:schemeClr val="accent1"/>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Monthly_Lives_Channel!$B$3:$B$15</c:f>
              <c:numCache>
                <c:formatCode>General</c:formatCode>
                <c:ptCount val="12"/>
                <c:pt idx="4">
                  <c:v>101</c:v>
                </c:pt>
                <c:pt idx="6">
                  <c:v>24</c:v>
                </c:pt>
                <c:pt idx="8">
                  <c:v>45</c:v>
                </c:pt>
                <c:pt idx="9">
                  <c:v>68</c:v>
                </c:pt>
              </c:numCache>
            </c:numRef>
          </c:val>
          <c:extLst>
            <c:ext xmlns:c16="http://schemas.microsoft.com/office/drawing/2014/chart" uri="{C3380CC4-5D6E-409C-BE32-E72D297353CC}">
              <c16:uniqueId val="{00000000-9391-C74D-9A4A-FF73BAF06E56}"/>
            </c:ext>
          </c:extLst>
        </c:ser>
        <c:ser>
          <c:idx val="1"/>
          <c:order val="1"/>
          <c:tx>
            <c:strRef>
              <c:f>Monthly_Lives_Channel!$C$1:$C$2</c:f>
              <c:strCache>
                <c:ptCount val="1"/>
                <c:pt idx="0">
                  <c:v>Broker</c:v>
                </c:pt>
              </c:strCache>
            </c:strRef>
          </c:tx>
          <c:spPr>
            <a:solidFill>
              <a:schemeClr val="accent2"/>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Monthly_Lives_Channel!$C$3:$C$15</c:f>
              <c:numCache>
                <c:formatCode>General</c:formatCode>
                <c:ptCount val="12"/>
                <c:pt idx="2">
                  <c:v>48</c:v>
                </c:pt>
                <c:pt idx="5">
                  <c:v>84</c:v>
                </c:pt>
                <c:pt idx="7">
                  <c:v>59</c:v>
                </c:pt>
                <c:pt idx="9">
                  <c:v>14</c:v>
                </c:pt>
                <c:pt idx="11">
                  <c:v>30</c:v>
                </c:pt>
              </c:numCache>
            </c:numRef>
          </c:val>
          <c:extLst>
            <c:ext xmlns:c16="http://schemas.microsoft.com/office/drawing/2014/chart" uri="{C3380CC4-5D6E-409C-BE32-E72D297353CC}">
              <c16:uniqueId val="{00000001-E35D-424E-AFA1-5C58FA776593}"/>
            </c:ext>
          </c:extLst>
        </c:ser>
        <c:ser>
          <c:idx val="2"/>
          <c:order val="2"/>
          <c:tx>
            <c:strRef>
              <c:f>Monthly_Lives_Channel!$D$1:$D$2</c:f>
              <c:strCache>
                <c:ptCount val="1"/>
                <c:pt idx="0">
                  <c:v>Direct</c:v>
                </c:pt>
              </c:strCache>
            </c:strRef>
          </c:tx>
          <c:spPr>
            <a:solidFill>
              <a:schemeClr val="accent3"/>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Monthly_Lives_Channel!$D$3:$D$15</c:f>
              <c:numCache>
                <c:formatCode>General</c:formatCode>
                <c:ptCount val="12"/>
                <c:pt idx="0">
                  <c:v>89</c:v>
                </c:pt>
                <c:pt idx="1">
                  <c:v>373</c:v>
                </c:pt>
                <c:pt idx="2">
                  <c:v>140</c:v>
                </c:pt>
                <c:pt idx="3">
                  <c:v>18</c:v>
                </c:pt>
                <c:pt idx="6">
                  <c:v>2</c:v>
                </c:pt>
                <c:pt idx="7">
                  <c:v>1</c:v>
                </c:pt>
                <c:pt idx="8">
                  <c:v>952</c:v>
                </c:pt>
                <c:pt idx="9">
                  <c:v>494</c:v>
                </c:pt>
                <c:pt idx="10">
                  <c:v>39</c:v>
                </c:pt>
                <c:pt idx="11">
                  <c:v>14</c:v>
                </c:pt>
              </c:numCache>
            </c:numRef>
          </c:val>
          <c:extLst>
            <c:ext xmlns:c16="http://schemas.microsoft.com/office/drawing/2014/chart" uri="{C3380CC4-5D6E-409C-BE32-E72D297353CC}">
              <c16:uniqueId val="{00000002-E35D-424E-AFA1-5C58FA776593}"/>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updated.xlsx]Monthly_Prem_Segment!PivotTable1</c:name>
    <c:fmtId val="3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Monthly_Prem_Segment!$B$1:$B$2</c:f>
              <c:strCache>
                <c:ptCount val="1"/>
                <c:pt idx="0">
                  <c:v>Hares</c:v>
                </c:pt>
              </c:strCache>
            </c:strRef>
          </c:tx>
          <c:spPr>
            <a:solidFill>
              <a:schemeClr val="accent1"/>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Monthly_Prem_Segment!$B$3:$B$15</c:f>
              <c:numCache>
                <c:formatCode>[$RWF]\ #,##0.00</c:formatCode>
                <c:ptCount val="12"/>
                <c:pt idx="0">
                  <c:v>36989713.200000003</c:v>
                </c:pt>
                <c:pt idx="1">
                  <c:v>19723411.599999998</c:v>
                </c:pt>
                <c:pt idx="2">
                  <c:v>4049817.1</c:v>
                </c:pt>
                <c:pt idx="3">
                  <c:v>2279514.6</c:v>
                </c:pt>
                <c:pt idx="4">
                  <c:v>2439220.6</c:v>
                </c:pt>
                <c:pt idx="5">
                  <c:v>30964168.199999999</c:v>
                </c:pt>
                <c:pt idx="6">
                  <c:v>20761122.949999999</c:v>
                </c:pt>
                <c:pt idx="7">
                  <c:v>21163234.649999999</c:v>
                </c:pt>
                <c:pt idx="8">
                  <c:v>21817179.149999999</c:v>
                </c:pt>
                <c:pt idx="9">
                  <c:v>37827775.899999999</c:v>
                </c:pt>
                <c:pt idx="10">
                  <c:v>15544477.800000001</c:v>
                </c:pt>
                <c:pt idx="11">
                  <c:v>21868891.400000002</c:v>
                </c:pt>
              </c:numCache>
            </c:numRef>
          </c:val>
          <c:extLst>
            <c:ext xmlns:c16="http://schemas.microsoft.com/office/drawing/2014/chart" uri="{C3380CC4-5D6E-409C-BE32-E72D297353CC}">
              <c16:uniqueId val="{00000000-BF09-5F4F-A36C-7AAA5F97B274}"/>
            </c:ext>
          </c:extLst>
        </c:ser>
        <c:ser>
          <c:idx val="1"/>
          <c:order val="1"/>
          <c:tx>
            <c:strRef>
              <c:f>Monthly_Prem_Segment!$C$1:$C$2</c:f>
              <c:strCache>
                <c:ptCount val="1"/>
                <c:pt idx="0">
                  <c:v>Tigers</c:v>
                </c:pt>
              </c:strCache>
            </c:strRef>
          </c:tx>
          <c:spPr>
            <a:solidFill>
              <a:schemeClr val="accent2"/>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Monthly_Prem_Segment!$C$3:$C$15</c:f>
              <c:numCache>
                <c:formatCode>[$RWF]\ #,##0.00</c:formatCode>
                <c:ptCount val="12"/>
                <c:pt idx="1">
                  <c:v>75096515</c:v>
                </c:pt>
                <c:pt idx="2">
                  <c:v>51705494.121179327</c:v>
                </c:pt>
                <c:pt idx="4">
                  <c:v>5449409.4500000002</c:v>
                </c:pt>
              </c:numCache>
            </c:numRef>
          </c:val>
          <c:extLst>
            <c:ext xmlns:c16="http://schemas.microsoft.com/office/drawing/2014/chart" uri="{C3380CC4-5D6E-409C-BE32-E72D297353CC}">
              <c16:uniqueId val="{00000000-7DC2-3348-85E1-F5BE8C10E034}"/>
            </c:ext>
          </c:extLst>
        </c:ser>
        <c:ser>
          <c:idx val="2"/>
          <c:order val="2"/>
          <c:tx>
            <c:strRef>
              <c:f>Monthly_Prem_Segment!$D$1:$D$2</c:f>
              <c:strCache>
                <c:ptCount val="1"/>
                <c:pt idx="0">
                  <c:v>Whales</c:v>
                </c:pt>
              </c:strCache>
            </c:strRef>
          </c:tx>
          <c:spPr>
            <a:solidFill>
              <a:schemeClr val="accent3"/>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Monthly_Prem_Segment!$D$3:$D$15</c:f>
              <c:numCache>
                <c:formatCode>[$RWF]\ #,##0.00</c:formatCode>
                <c:ptCount val="12"/>
                <c:pt idx="8">
                  <c:v>340796091.10000002</c:v>
                </c:pt>
              </c:numCache>
            </c:numRef>
          </c:val>
          <c:extLst>
            <c:ext xmlns:c16="http://schemas.microsoft.com/office/drawing/2014/chart" uri="{C3380CC4-5D6E-409C-BE32-E72D297353CC}">
              <c16:uniqueId val="{00000001-7DC2-3348-85E1-F5BE8C10E034}"/>
            </c:ext>
          </c:extLst>
        </c:ser>
        <c:ser>
          <c:idx val="3"/>
          <c:order val="3"/>
          <c:tx>
            <c:strRef>
              <c:f>Monthly_Prem_Segment!$E$1:$E$2</c:f>
              <c:strCache>
                <c:ptCount val="1"/>
                <c:pt idx="0">
                  <c:v>Elephants</c:v>
                </c:pt>
              </c:strCache>
            </c:strRef>
          </c:tx>
          <c:spPr>
            <a:solidFill>
              <a:schemeClr val="accent4"/>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Monthly_Prem_Segment!$E$3:$E$15</c:f>
              <c:numCache>
                <c:formatCode>[$RWF]\ #,##0.00</c:formatCode>
                <c:ptCount val="12"/>
                <c:pt idx="1">
                  <c:v>10619201.9</c:v>
                </c:pt>
                <c:pt idx="9">
                  <c:v>159274830</c:v>
                </c:pt>
              </c:numCache>
            </c:numRef>
          </c:val>
          <c:extLst>
            <c:ext xmlns:c16="http://schemas.microsoft.com/office/drawing/2014/chart" uri="{C3380CC4-5D6E-409C-BE32-E72D297353CC}">
              <c16:uniqueId val="{00000002-9976-4A4D-9C57-C686450E4B22}"/>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RWF]\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updated.xlsx]Monthly_Lives_Segment!PivotTable1</c:name>
    <c:fmtId val="3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Monthly_Lives_Segment!$B$1:$B$2</c:f>
              <c:strCache>
                <c:ptCount val="1"/>
                <c:pt idx="0">
                  <c:v>Hares</c:v>
                </c:pt>
              </c:strCache>
            </c:strRef>
          </c:tx>
          <c:spPr>
            <a:solidFill>
              <a:schemeClr val="accent1"/>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Monthly_Lives_Segment!$B$3:$B$15</c:f>
              <c:numCache>
                <c:formatCode>General</c:formatCode>
                <c:ptCount val="12"/>
                <c:pt idx="0">
                  <c:v>89</c:v>
                </c:pt>
                <c:pt idx="1">
                  <c:v>34</c:v>
                </c:pt>
                <c:pt idx="2">
                  <c:v>7</c:v>
                </c:pt>
                <c:pt idx="3">
                  <c:v>18</c:v>
                </c:pt>
                <c:pt idx="4">
                  <c:v>4</c:v>
                </c:pt>
                <c:pt idx="5">
                  <c:v>84</c:v>
                </c:pt>
                <c:pt idx="6">
                  <c:v>26</c:v>
                </c:pt>
                <c:pt idx="7">
                  <c:v>60</c:v>
                </c:pt>
                <c:pt idx="8">
                  <c:v>69</c:v>
                </c:pt>
                <c:pt idx="9">
                  <c:v>101</c:v>
                </c:pt>
                <c:pt idx="10">
                  <c:v>39</c:v>
                </c:pt>
                <c:pt idx="11">
                  <c:v>44</c:v>
                </c:pt>
              </c:numCache>
            </c:numRef>
          </c:val>
          <c:extLst>
            <c:ext xmlns:c16="http://schemas.microsoft.com/office/drawing/2014/chart" uri="{C3380CC4-5D6E-409C-BE32-E72D297353CC}">
              <c16:uniqueId val="{00000000-D309-B04E-8F38-C8F348AA8134}"/>
            </c:ext>
          </c:extLst>
        </c:ser>
        <c:ser>
          <c:idx val="1"/>
          <c:order val="1"/>
          <c:tx>
            <c:strRef>
              <c:f>Monthly_Lives_Segment!$C$1:$C$2</c:f>
              <c:strCache>
                <c:ptCount val="1"/>
                <c:pt idx="0">
                  <c:v>Tigers</c:v>
                </c:pt>
              </c:strCache>
            </c:strRef>
          </c:tx>
          <c:spPr>
            <a:solidFill>
              <a:schemeClr val="accent2"/>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Monthly_Lives_Segment!$C$3:$C$15</c:f>
              <c:numCache>
                <c:formatCode>General</c:formatCode>
                <c:ptCount val="12"/>
                <c:pt idx="1">
                  <c:v>187</c:v>
                </c:pt>
                <c:pt idx="2">
                  <c:v>181</c:v>
                </c:pt>
                <c:pt idx="4">
                  <c:v>97</c:v>
                </c:pt>
              </c:numCache>
            </c:numRef>
          </c:val>
          <c:extLst>
            <c:ext xmlns:c16="http://schemas.microsoft.com/office/drawing/2014/chart" uri="{C3380CC4-5D6E-409C-BE32-E72D297353CC}">
              <c16:uniqueId val="{00000000-1007-C142-B14E-D07D88B98609}"/>
            </c:ext>
          </c:extLst>
        </c:ser>
        <c:ser>
          <c:idx val="2"/>
          <c:order val="2"/>
          <c:tx>
            <c:strRef>
              <c:f>Monthly_Lives_Segment!$D$1:$D$2</c:f>
              <c:strCache>
                <c:ptCount val="1"/>
                <c:pt idx="0">
                  <c:v>Whales</c:v>
                </c:pt>
              </c:strCache>
            </c:strRef>
          </c:tx>
          <c:spPr>
            <a:solidFill>
              <a:schemeClr val="accent3"/>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Monthly_Lives_Segment!$D$3:$D$15</c:f>
              <c:numCache>
                <c:formatCode>General</c:formatCode>
                <c:ptCount val="12"/>
                <c:pt idx="8">
                  <c:v>928</c:v>
                </c:pt>
              </c:numCache>
            </c:numRef>
          </c:val>
          <c:extLst>
            <c:ext xmlns:c16="http://schemas.microsoft.com/office/drawing/2014/chart" uri="{C3380CC4-5D6E-409C-BE32-E72D297353CC}">
              <c16:uniqueId val="{00000001-1007-C142-B14E-D07D88B98609}"/>
            </c:ext>
          </c:extLst>
        </c:ser>
        <c:ser>
          <c:idx val="3"/>
          <c:order val="3"/>
          <c:tx>
            <c:strRef>
              <c:f>Monthly_Lives_Segment!$E$1:$E$2</c:f>
              <c:strCache>
                <c:ptCount val="1"/>
                <c:pt idx="0">
                  <c:v>Elephants</c:v>
                </c:pt>
              </c:strCache>
            </c:strRef>
          </c:tx>
          <c:spPr>
            <a:solidFill>
              <a:schemeClr val="accent4"/>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Monthly_Lives_Segment!$E$3:$E$15</c:f>
              <c:numCache>
                <c:formatCode>General</c:formatCode>
                <c:ptCount val="12"/>
                <c:pt idx="1">
                  <c:v>152</c:v>
                </c:pt>
                <c:pt idx="9">
                  <c:v>475</c:v>
                </c:pt>
              </c:numCache>
            </c:numRef>
          </c:val>
          <c:extLst>
            <c:ext xmlns:c16="http://schemas.microsoft.com/office/drawing/2014/chart" uri="{C3380CC4-5D6E-409C-BE32-E72D297353CC}">
              <c16:uniqueId val="{00000001-41CD-8C4C-9B81-64F423B2B477}"/>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updated.xlsx]Closed_YTD_Premium!PivotTable1</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Closed_YTD_Premium!$A$1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Closed_YTD_Premium!$A$2</c:f>
              <c:strCache>
                <c:ptCount val="1"/>
                <c:pt idx="0">
                  <c:v>Total</c:v>
                </c:pt>
              </c:strCache>
            </c:strRef>
          </c:cat>
          <c:val>
            <c:numRef>
              <c:f>Closed_YTD_Premium!$A$2</c:f>
              <c:numCache>
                <c:formatCode>[$RWF]\ #,##0</c:formatCode>
                <c:ptCount val="1"/>
                <c:pt idx="0">
                  <c:v>824848636.87731361</c:v>
                </c:pt>
              </c:numCache>
            </c:numRef>
          </c:val>
          <c:extLst>
            <c:ext xmlns:c16="http://schemas.microsoft.com/office/drawing/2014/chart" uri="{C3380CC4-5D6E-409C-BE32-E72D297353CC}">
              <c16:uniqueId val="{00000001-42AB-8040-9B13-1706ADE41FB5}"/>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1"/>
        <c:axPos val="b"/>
        <c:numFmt formatCode="General" sourceLinked="1"/>
        <c:majorTickMark val="none"/>
        <c:minorTickMark val="none"/>
        <c:tickLblPos val="nextTo"/>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RWF]\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updated.xlsx]YTD_Premium_Channel!PivotTable1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Insured 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YTD_Premium_Channel!$B$1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EFE-0C4F-A6C3-0792A9682ACC}"/>
              </c:ext>
            </c:extLst>
          </c:dPt>
          <c:dPt>
            <c:idx val="1"/>
            <c:bubble3D val="0"/>
            <c:spPr>
              <a:solidFill>
                <a:schemeClr val="accent2"/>
              </a:solidFill>
              <a:ln>
                <a:noFill/>
              </a:ln>
              <a:effectLst/>
            </c:spPr>
            <c:extLst>
              <c:ext xmlns:c16="http://schemas.microsoft.com/office/drawing/2014/chart" uri="{C3380CC4-5D6E-409C-BE32-E72D297353CC}">
                <c16:uniqueId val="{00000003-0EFE-0C4F-A6C3-0792A9682ACC}"/>
              </c:ext>
            </c:extLst>
          </c:dPt>
          <c:dPt>
            <c:idx val="2"/>
            <c:bubble3D val="0"/>
            <c:spPr>
              <a:solidFill>
                <a:schemeClr val="accent3"/>
              </a:solidFill>
              <a:ln>
                <a:noFill/>
              </a:ln>
              <a:effectLst/>
            </c:spPr>
            <c:extLst>
              <c:ext xmlns:c16="http://schemas.microsoft.com/office/drawing/2014/chart" uri="{C3380CC4-5D6E-409C-BE32-E72D297353CC}">
                <c16:uniqueId val="{00000005-0EFE-0C4F-A6C3-0792A9682ACC}"/>
              </c:ext>
            </c:extLst>
          </c:dPt>
          <c:dPt>
            <c:idx val="3"/>
            <c:bubble3D val="0"/>
            <c:spPr>
              <a:solidFill>
                <a:schemeClr val="accent4"/>
              </a:solidFill>
              <a:ln>
                <a:noFill/>
              </a:ln>
              <a:effectLst/>
            </c:spPr>
            <c:extLst>
              <c:ext xmlns:c16="http://schemas.microsoft.com/office/drawing/2014/chart" uri="{C3380CC4-5D6E-409C-BE32-E72D297353CC}">
                <c16:uniqueId val="{00000007-EDAB-064E-849C-C6158D465127}"/>
              </c:ext>
            </c:extLst>
          </c:dPt>
          <c:dLbls>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YTD_Premium_Channel!$A$2:$A$5</c:f>
              <c:strCache>
                <c:ptCount val="3"/>
                <c:pt idx="0">
                  <c:v>Agent</c:v>
                </c:pt>
                <c:pt idx="1">
                  <c:v>Broker</c:v>
                </c:pt>
                <c:pt idx="2">
                  <c:v>Direct</c:v>
                </c:pt>
              </c:strCache>
            </c:strRef>
          </c:cat>
          <c:val>
            <c:numRef>
              <c:f>YTD_Premium_Channel!$B$2:$B$5</c:f>
              <c:numCache>
                <c:formatCode>[$RWF]\ #,##0.00</c:formatCode>
                <c:ptCount val="3"/>
                <c:pt idx="0">
                  <c:v>68199502.75</c:v>
                </c:pt>
                <c:pt idx="1">
                  <c:v>83071210.150000006</c:v>
                </c:pt>
                <c:pt idx="2">
                  <c:v>727099355.82117927</c:v>
                </c:pt>
              </c:numCache>
            </c:numRef>
          </c:val>
          <c:extLst>
            <c:ext xmlns:c16="http://schemas.microsoft.com/office/drawing/2014/chart" uri="{C3380CC4-5D6E-409C-BE32-E72D297353CC}">
              <c16:uniqueId val="{00000000-D905-AA46-861B-6EACFB1F3E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updated.xlsx]YTD_Premium_Segment!PivotTable1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Insured 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YTD_Premium_Segment!$B$1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1FA-0F44-B458-846EB48CF10F}"/>
              </c:ext>
            </c:extLst>
          </c:dPt>
          <c:dPt>
            <c:idx val="1"/>
            <c:bubble3D val="0"/>
            <c:spPr>
              <a:solidFill>
                <a:schemeClr val="accent2"/>
              </a:solidFill>
              <a:ln>
                <a:noFill/>
              </a:ln>
              <a:effectLst/>
            </c:spPr>
            <c:extLst>
              <c:ext xmlns:c16="http://schemas.microsoft.com/office/drawing/2014/chart" uri="{C3380CC4-5D6E-409C-BE32-E72D297353CC}">
                <c16:uniqueId val="{00000003-41FA-0F44-B458-846EB48CF10F}"/>
              </c:ext>
            </c:extLst>
          </c:dPt>
          <c:dPt>
            <c:idx val="2"/>
            <c:bubble3D val="0"/>
            <c:spPr>
              <a:solidFill>
                <a:schemeClr val="accent3"/>
              </a:solidFill>
              <a:ln>
                <a:noFill/>
              </a:ln>
              <a:effectLst/>
            </c:spPr>
            <c:extLst>
              <c:ext xmlns:c16="http://schemas.microsoft.com/office/drawing/2014/chart" uri="{C3380CC4-5D6E-409C-BE32-E72D297353CC}">
                <c16:uniqueId val="{00000005-41FA-0F44-B458-846EB48CF10F}"/>
              </c:ext>
            </c:extLst>
          </c:dPt>
          <c:dPt>
            <c:idx val="3"/>
            <c:bubble3D val="0"/>
            <c:spPr>
              <a:solidFill>
                <a:schemeClr val="accent4"/>
              </a:solidFill>
              <a:ln>
                <a:noFill/>
              </a:ln>
              <a:effectLst/>
            </c:spPr>
            <c:extLst>
              <c:ext xmlns:c16="http://schemas.microsoft.com/office/drawing/2014/chart" uri="{C3380CC4-5D6E-409C-BE32-E72D297353CC}">
                <c16:uniqueId val="{00000007-41FA-0F44-B458-846EB48CF10F}"/>
              </c:ext>
            </c:extLst>
          </c:dPt>
          <c:dLbls>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YTD_Premium_Segment!$A$2:$A$6</c:f>
              <c:strCache>
                <c:ptCount val="4"/>
                <c:pt idx="0">
                  <c:v>Hares</c:v>
                </c:pt>
                <c:pt idx="1">
                  <c:v>Tigers</c:v>
                </c:pt>
                <c:pt idx="2">
                  <c:v>Whales</c:v>
                </c:pt>
                <c:pt idx="3">
                  <c:v>Elephants</c:v>
                </c:pt>
              </c:strCache>
            </c:strRef>
          </c:cat>
          <c:val>
            <c:numRef>
              <c:f>YTD_Premium_Segment!$B$2:$B$6</c:f>
              <c:numCache>
                <c:formatCode>0.00%</c:formatCode>
                <c:ptCount val="4"/>
                <c:pt idx="0">
                  <c:v>0.26802885883026595</c:v>
                </c:pt>
                <c:pt idx="1">
                  <c:v>0.15056457782506685</c:v>
                </c:pt>
                <c:pt idx="2">
                  <c:v>0.38798691261892121</c:v>
                </c:pt>
                <c:pt idx="3">
                  <c:v>0.19341965072574599</c:v>
                </c:pt>
              </c:numCache>
            </c:numRef>
          </c:val>
          <c:extLst>
            <c:ext xmlns:c16="http://schemas.microsoft.com/office/drawing/2014/chart" uri="{C3380CC4-5D6E-409C-BE32-E72D297353CC}">
              <c16:uniqueId val="{00000007-8544-1243-9108-BCDAFB4CBA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updated.xlsx]Closed_YTD_Lives!PivotTable1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Closed_YTD_Lives!$A$1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Closed_YTD_Lives!$A$2</c:f>
              <c:strCache>
                <c:ptCount val="1"/>
                <c:pt idx="0">
                  <c:v>Total</c:v>
                </c:pt>
              </c:strCache>
            </c:strRef>
          </c:cat>
          <c:val>
            <c:numRef>
              <c:f>Closed_YTD_Lives!$A$2</c:f>
              <c:numCache>
                <c:formatCode>General</c:formatCode>
                <c:ptCount val="1"/>
                <c:pt idx="0">
                  <c:v>2181</c:v>
                </c:pt>
              </c:numCache>
            </c:numRef>
          </c:val>
          <c:extLst>
            <c:ext xmlns:c16="http://schemas.microsoft.com/office/drawing/2014/chart" uri="{C3380CC4-5D6E-409C-BE32-E72D297353CC}">
              <c16:uniqueId val="{00000001-2DE4-A749-A3D5-0F61EB4CC254}"/>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1"/>
        <c:axPos val="b"/>
        <c:numFmt formatCode="General" sourceLinked="1"/>
        <c:majorTickMark val="none"/>
        <c:minorTickMark val="none"/>
        <c:tickLblPos val="nextTo"/>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updated.xlsx]YTD_Lives_Channel!PivotTable1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Lives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YTD_Lives_Channel!$B$1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ADC-C942-B277-D75F372F60AD}"/>
              </c:ext>
            </c:extLst>
          </c:dPt>
          <c:dPt>
            <c:idx val="1"/>
            <c:bubble3D val="0"/>
            <c:spPr>
              <a:solidFill>
                <a:schemeClr val="accent2"/>
              </a:solidFill>
              <a:ln>
                <a:noFill/>
              </a:ln>
              <a:effectLst/>
            </c:spPr>
            <c:extLst>
              <c:ext xmlns:c16="http://schemas.microsoft.com/office/drawing/2014/chart" uri="{C3380CC4-5D6E-409C-BE32-E72D297353CC}">
                <c16:uniqueId val="{00000003-BADC-C942-B277-D75F372F60AD}"/>
              </c:ext>
            </c:extLst>
          </c:dPt>
          <c:dPt>
            <c:idx val="2"/>
            <c:bubble3D val="0"/>
            <c:spPr>
              <a:solidFill>
                <a:schemeClr val="accent3"/>
              </a:solidFill>
              <a:ln>
                <a:noFill/>
              </a:ln>
              <a:effectLst/>
            </c:spPr>
            <c:extLst>
              <c:ext xmlns:c16="http://schemas.microsoft.com/office/drawing/2014/chart" uri="{C3380CC4-5D6E-409C-BE32-E72D297353CC}">
                <c16:uniqueId val="{00000005-BADC-C942-B277-D75F372F60AD}"/>
              </c:ext>
            </c:extLst>
          </c:dPt>
          <c:dPt>
            <c:idx val="3"/>
            <c:bubble3D val="0"/>
            <c:spPr>
              <a:solidFill>
                <a:schemeClr val="accent4"/>
              </a:solidFill>
              <a:ln>
                <a:noFill/>
              </a:ln>
              <a:effectLst/>
            </c:spPr>
            <c:extLst>
              <c:ext xmlns:c16="http://schemas.microsoft.com/office/drawing/2014/chart" uri="{C3380CC4-5D6E-409C-BE32-E72D297353CC}">
                <c16:uniqueId val="{00000007-CF5C-964D-9D21-166AE6C67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YTD_Lives_Channel!$A$2:$A$5</c:f>
              <c:strCache>
                <c:ptCount val="3"/>
                <c:pt idx="0">
                  <c:v>Agent</c:v>
                </c:pt>
                <c:pt idx="1">
                  <c:v>Broker</c:v>
                </c:pt>
                <c:pt idx="2">
                  <c:v>Direct</c:v>
                </c:pt>
              </c:strCache>
            </c:strRef>
          </c:cat>
          <c:val>
            <c:numRef>
              <c:f>YTD_Lives_Channel!$B$2:$B$5</c:f>
              <c:numCache>
                <c:formatCode>General</c:formatCode>
                <c:ptCount val="3"/>
                <c:pt idx="0">
                  <c:v>238</c:v>
                </c:pt>
                <c:pt idx="1">
                  <c:v>235</c:v>
                </c:pt>
                <c:pt idx="2">
                  <c:v>1708</c:v>
                </c:pt>
              </c:numCache>
            </c:numRef>
          </c:val>
          <c:extLst>
            <c:ext xmlns:c16="http://schemas.microsoft.com/office/drawing/2014/chart" uri="{C3380CC4-5D6E-409C-BE32-E72D297353CC}">
              <c16:uniqueId val="{00000007-F661-1E41-93A2-BE48D9266E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updated.xlsx]YTD_Lives_Segment!PivotTable1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Lives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strRef>
              <c:f>YTD_Lives_Segment!$E$1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F36-1B44-A187-4AEE5EA7AA96}"/>
              </c:ext>
            </c:extLst>
          </c:dPt>
          <c:dPt>
            <c:idx val="1"/>
            <c:bubble3D val="0"/>
            <c:spPr>
              <a:solidFill>
                <a:schemeClr val="accent2"/>
              </a:solidFill>
              <a:ln>
                <a:noFill/>
              </a:ln>
              <a:effectLst/>
            </c:spPr>
            <c:extLst>
              <c:ext xmlns:c16="http://schemas.microsoft.com/office/drawing/2014/chart" uri="{C3380CC4-5D6E-409C-BE32-E72D297353CC}">
                <c16:uniqueId val="{00000003-2F36-1B44-A187-4AEE5EA7AA96}"/>
              </c:ext>
            </c:extLst>
          </c:dPt>
          <c:dPt>
            <c:idx val="2"/>
            <c:bubble3D val="0"/>
            <c:spPr>
              <a:solidFill>
                <a:schemeClr val="accent3"/>
              </a:solidFill>
              <a:ln>
                <a:noFill/>
              </a:ln>
              <a:effectLst/>
            </c:spPr>
            <c:extLst>
              <c:ext xmlns:c16="http://schemas.microsoft.com/office/drawing/2014/chart" uri="{C3380CC4-5D6E-409C-BE32-E72D297353CC}">
                <c16:uniqueId val="{00000005-2F36-1B44-A187-4AEE5EA7AA96}"/>
              </c:ext>
            </c:extLst>
          </c:dPt>
          <c:dPt>
            <c:idx val="3"/>
            <c:bubble3D val="0"/>
            <c:spPr>
              <a:solidFill>
                <a:schemeClr val="accent4"/>
              </a:solidFill>
              <a:ln>
                <a:noFill/>
              </a:ln>
              <a:effectLst/>
            </c:spPr>
            <c:extLst>
              <c:ext xmlns:c16="http://schemas.microsoft.com/office/drawing/2014/chart" uri="{C3380CC4-5D6E-409C-BE32-E72D297353CC}">
                <c16:uniqueId val="{00000007-2F36-1B44-A187-4AEE5EA7AA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YTD_Lives_Segment!$D$2:$D$6</c:f>
              <c:strCache>
                <c:ptCount val="4"/>
                <c:pt idx="0">
                  <c:v>Hares</c:v>
                </c:pt>
                <c:pt idx="1">
                  <c:v>Tigers</c:v>
                </c:pt>
                <c:pt idx="2">
                  <c:v>Whales</c:v>
                </c:pt>
                <c:pt idx="3">
                  <c:v>Elephants</c:v>
                </c:pt>
              </c:strCache>
            </c:strRef>
          </c:cat>
          <c:val>
            <c:numRef>
              <c:f>YTD_Lives_Segment!$E$2:$E$6</c:f>
              <c:numCache>
                <c:formatCode>0.00%</c:formatCode>
                <c:ptCount val="4"/>
                <c:pt idx="0">
                  <c:v>0.20724438331040806</c:v>
                </c:pt>
                <c:pt idx="1">
                  <c:v>0.14947271893626776</c:v>
                </c:pt>
                <c:pt idx="2">
                  <c:v>0.42549289316827144</c:v>
                </c:pt>
                <c:pt idx="3">
                  <c:v>0.21779000458505274</c:v>
                </c:pt>
              </c:numCache>
            </c:numRef>
          </c:val>
          <c:extLst>
            <c:ext xmlns:c16="http://schemas.microsoft.com/office/drawing/2014/chart" uri="{C3380CC4-5D6E-409C-BE32-E72D297353CC}">
              <c16:uniqueId val="{00000007-6666-244B-9CC4-B61BAE0AA0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updated.xlsx]Monthly_Lives and Premium!PivotTable1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'Monthly_Lives and Premium'!$B$1</c:f>
              <c:strCache>
                <c:ptCount val="1"/>
                <c:pt idx="0">
                  <c:v>Monthly New Lives</c:v>
                </c:pt>
              </c:strCache>
            </c:strRef>
          </c:tx>
          <c:spPr>
            <a:solidFill>
              <a:schemeClr val="accent1"/>
            </a:solidFill>
            <a:ln>
              <a:noFill/>
            </a:ln>
            <a:effectLst/>
          </c:spPr>
          <c:invertIfNegative val="0"/>
          <c:cat>
            <c:strRef>
              <c:f>'Monthly_Lives and Premium'!$A$2:$A$14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 and Premium'!$B$2:$B$14</c:f>
              <c:numCache>
                <c:formatCode>General</c:formatCode>
                <c:ptCount val="12"/>
                <c:pt idx="0">
                  <c:v>89</c:v>
                </c:pt>
                <c:pt idx="1">
                  <c:v>373</c:v>
                </c:pt>
                <c:pt idx="2">
                  <c:v>188</c:v>
                </c:pt>
                <c:pt idx="3">
                  <c:v>18</c:v>
                </c:pt>
                <c:pt idx="4">
                  <c:v>101</c:v>
                </c:pt>
                <c:pt idx="5">
                  <c:v>84</c:v>
                </c:pt>
                <c:pt idx="6">
                  <c:v>26</c:v>
                </c:pt>
                <c:pt idx="7">
                  <c:v>60</c:v>
                </c:pt>
                <c:pt idx="8">
                  <c:v>997</c:v>
                </c:pt>
                <c:pt idx="9">
                  <c:v>576</c:v>
                </c:pt>
                <c:pt idx="10">
                  <c:v>39</c:v>
                </c:pt>
                <c:pt idx="11">
                  <c:v>44</c:v>
                </c:pt>
              </c:numCache>
            </c:numRef>
          </c:val>
          <c:extLst>
            <c:ext xmlns:c16="http://schemas.microsoft.com/office/drawing/2014/chart" uri="{C3380CC4-5D6E-409C-BE32-E72D297353CC}">
              <c16:uniqueId val="{00000000-D0EA-5543-802A-90177FF21D05}"/>
            </c:ext>
          </c:extLst>
        </c:ser>
        <c:dLbls>
          <c:showLegendKey val="0"/>
          <c:showVal val="0"/>
          <c:showCatName val="0"/>
          <c:showSerName val="0"/>
          <c:showPercent val="0"/>
          <c:showBubbleSize val="0"/>
        </c:dLbls>
        <c:gapWidth val="219"/>
        <c:axId val="1580126608"/>
        <c:axId val="1615076160"/>
      </c:barChart>
      <c:lineChart>
        <c:grouping val="standard"/>
        <c:varyColors val="0"/>
        <c:ser>
          <c:idx val="1"/>
          <c:order val="1"/>
          <c:tx>
            <c:strRef>
              <c:f>'Monthly_Lives and Premium'!$C$1</c:f>
              <c:strCache>
                <c:ptCount val="1"/>
                <c:pt idx="0">
                  <c:v>Monthly New Basic Premium</c:v>
                </c:pt>
              </c:strCache>
            </c:strRef>
          </c:tx>
          <c:spPr>
            <a:ln w="28575" cap="rnd">
              <a:solidFill>
                <a:schemeClr val="accent2"/>
              </a:solidFill>
              <a:round/>
            </a:ln>
            <a:effectLst/>
          </c:spPr>
          <c:marker>
            <c:symbol val="none"/>
          </c:marker>
          <c:cat>
            <c:strRef>
              <c:f>'Monthly_Lives and Premium'!$A$2:$A$14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 and Premium'!$C$2:$C$14</c:f>
              <c:numCache>
                <c:formatCode>[$RWF]\ #,##0.00</c:formatCode>
                <c:ptCount val="12"/>
                <c:pt idx="0">
                  <c:v>34342584</c:v>
                </c:pt>
                <c:pt idx="1">
                  <c:v>97999170</c:v>
                </c:pt>
                <c:pt idx="2">
                  <c:v>52576486.877313644</c:v>
                </c:pt>
                <c:pt idx="3">
                  <c:v>2085252</c:v>
                </c:pt>
                <c:pt idx="4">
                  <c:v>7012981</c:v>
                </c:pt>
                <c:pt idx="5">
                  <c:v>28689684</c:v>
                </c:pt>
                <c:pt idx="6">
                  <c:v>19524879</c:v>
                </c:pt>
                <c:pt idx="7">
                  <c:v>19584033</c:v>
                </c:pt>
                <c:pt idx="8">
                  <c:v>342479305</c:v>
                </c:pt>
                <c:pt idx="9">
                  <c:v>185712958</c:v>
                </c:pt>
                <c:pt idx="10">
                  <c:v>14432836</c:v>
                </c:pt>
                <c:pt idx="11">
                  <c:v>20408468</c:v>
                </c:pt>
              </c:numCache>
            </c:numRef>
          </c:val>
          <c:smooth val="0"/>
          <c:extLst>
            <c:ext xmlns:c16="http://schemas.microsoft.com/office/drawing/2014/chart" uri="{C3380CC4-5D6E-409C-BE32-E72D297353CC}">
              <c16:uniqueId val="{00000001-D0EA-5543-802A-90177FF21D05}"/>
            </c:ext>
          </c:extLst>
        </c:ser>
        <c:dLbls>
          <c:showLegendKey val="0"/>
          <c:showVal val="0"/>
          <c:showCatName val="0"/>
          <c:showSerName val="0"/>
          <c:showPercent val="0"/>
          <c:showBubbleSize val="0"/>
        </c:dLbls>
        <c:marker val="1"/>
        <c:smooth val="0"/>
        <c:axId val="1828616032"/>
        <c:axId val="1828395920"/>
      </c:lineChart>
      <c:catAx>
        <c:axId val="15801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76160"/>
        <c:crosses val="autoZero"/>
        <c:auto val="1"/>
        <c:lblAlgn val="ctr"/>
        <c:lblOffset val="100"/>
        <c:noMultiLvlLbl val="0"/>
      </c:catAx>
      <c:valAx>
        <c:axId val="161507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126608"/>
        <c:crosses val="autoZero"/>
        <c:crossBetween val="between"/>
      </c:valAx>
      <c:valAx>
        <c:axId val="1828395920"/>
        <c:scaling>
          <c:orientation val="minMax"/>
        </c:scaling>
        <c:delete val="0"/>
        <c:axPos val="r"/>
        <c:numFmt formatCode="[$RWF]\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16032"/>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28616032"/>
        <c:scaling>
          <c:orientation val="minMax"/>
        </c:scaling>
        <c:delete val="1"/>
        <c:axPos val="b"/>
        <c:numFmt formatCode="General" sourceLinked="1"/>
        <c:majorTickMark val="out"/>
        <c:minorTickMark val="none"/>
        <c:tickLblPos val="nextTo"/>
        <c:crossAx val="18283959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updated.xlsx]YTD_Premium_Channel!PivotTable1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Insured Premium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YTD_Premium_Channel!$B$1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08F-324B-B45B-980D0CCAE777}"/>
              </c:ext>
            </c:extLst>
          </c:dPt>
          <c:dPt>
            <c:idx val="1"/>
            <c:bubble3D val="0"/>
            <c:spPr>
              <a:solidFill>
                <a:schemeClr val="accent2"/>
              </a:solidFill>
              <a:ln>
                <a:noFill/>
              </a:ln>
              <a:effectLst/>
            </c:spPr>
            <c:extLst>
              <c:ext xmlns:c16="http://schemas.microsoft.com/office/drawing/2014/chart" uri="{C3380CC4-5D6E-409C-BE32-E72D297353CC}">
                <c16:uniqueId val="{00000003-408F-324B-B45B-980D0CCAE777}"/>
              </c:ext>
            </c:extLst>
          </c:dPt>
          <c:dPt>
            <c:idx val="2"/>
            <c:bubble3D val="0"/>
            <c:spPr>
              <a:solidFill>
                <a:schemeClr val="accent3"/>
              </a:solidFill>
              <a:ln>
                <a:noFill/>
              </a:ln>
              <a:effectLst/>
            </c:spPr>
            <c:extLst>
              <c:ext xmlns:c16="http://schemas.microsoft.com/office/drawing/2014/chart" uri="{C3380CC4-5D6E-409C-BE32-E72D297353CC}">
                <c16:uniqueId val="{00000005-408F-324B-B45B-980D0CCAE777}"/>
              </c:ext>
            </c:extLst>
          </c:dPt>
          <c:dPt>
            <c:idx val="3"/>
            <c:bubble3D val="0"/>
            <c:spPr>
              <a:solidFill>
                <a:schemeClr val="accent4"/>
              </a:solidFill>
              <a:ln>
                <a:noFill/>
              </a:ln>
              <a:effectLst/>
            </c:spPr>
            <c:extLst>
              <c:ext xmlns:c16="http://schemas.microsoft.com/office/drawing/2014/chart" uri="{C3380CC4-5D6E-409C-BE32-E72D297353CC}">
                <c16:uniqueId val="{00000007-39A0-DA4D-A7FC-5ABFDC312E1B}"/>
              </c:ext>
            </c:extLst>
          </c:dPt>
          <c:dLbls>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YTD_Premium_Channel!$A$2:$A$5</c:f>
              <c:strCache>
                <c:ptCount val="3"/>
                <c:pt idx="0">
                  <c:v>Agent</c:v>
                </c:pt>
                <c:pt idx="1">
                  <c:v>Broker</c:v>
                </c:pt>
                <c:pt idx="2">
                  <c:v>Direct</c:v>
                </c:pt>
              </c:strCache>
            </c:strRef>
          </c:cat>
          <c:val>
            <c:numRef>
              <c:f>YTD_Premium_Channel!$B$2:$B$5</c:f>
              <c:numCache>
                <c:formatCode>[$RWF]\ #,##0.00</c:formatCode>
                <c:ptCount val="3"/>
                <c:pt idx="0">
                  <c:v>68199502.75</c:v>
                </c:pt>
                <c:pt idx="1">
                  <c:v>83071210.150000006</c:v>
                </c:pt>
                <c:pt idx="2">
                  <c:v>727099355.82117927</c:v>
                </c:pt>
              </c:numCache>
            </c:numRef>
          </c:val>
          <c:extLst>
            <c:ext xmlns:c16="http://schemas.microsoft.com/office/drawing/2014/chart" uri="{C3380CC4-5D6E-409C-BE32-E72D297353CC}">
              <c16:uniqueId val="{00000006-408F-324B-B45B-980D0CCAE7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updated.xlsx]Monthly_Overview_Premium!PivotTable1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Monthly_Overview_Premium!$B$1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Monthly_Overview_Premium!$A$2:$A$14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Monthly_Overview_Premium!$B$2:$B$14</c:f>
              <c:numCache>
                <c:formatCode>[$RWF]\ #,##0</c:formatCode>
                <c:ptCount val="12"/>
                <c:pt idx="0">
                  <c:v>34342584</c:v>
                </c:pt>
                <c:pt idx="1">
                  <c:v>97999170</c:v>
                </c:pt>
                <c:pt idx="2">
                  <c:v>52576486.877313644</c:v>
                </c:pt>
                <c:pt idx="3">
                  <c:v>2085252</c:v>
                </c:pt>
                <c:pt idx="4">
                  <c:v>7012981</c:v>
                </c:pt>
                <c:pt idx="5">
                  <c:v>28689684</c:v>
                </c:pt>
                <c:pt idx="6">
                  <c:v>19524879</c:v>
                </c:pt>
                <c:pt idx="7">
                  <c:v>19584033</c:v>
                </c:pt>
                <c:pt idx="8">
                  <c:v>342479305</c:v>
                </c:pt>
                <c:pt idx="9">
                  <c:v>185712958</c:v>
                </c:pt>
                <c:pt idx="10">
                  <c:v>14432836</c:v>
                </c:pt>
                <c:pt idx="11">
                  <c:v>20408468</c:v>
                </c:pt>
              </c:numCache>
            </c:numRef>
          </c:val>
          <c:extLst>
            <c:ext xmlns:c16="http://schemas.microsoft.com/office/drawing/2014/chart" uri="{C3380CC4-5D6E-409C-BE32-E72D297353CC}">
              <c16:uniqueId val="{00000000-2437-9B4C-8A17-C6162D917D08}"/>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RWF]\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updated.xlsx]Monthly_Overview_Lives!PivotTable1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Monthly_Overview_Lives!$B$1</c:f>
              <c:strCache>
                <c:ptCount val="1"/>
                <c:pt idx="0">
                  <c:v>Total No. of Principal 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Monthly_Overview_Lives!$A$2:$A$14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Monthly_Overview_Lives!$B$2:$B$14</c:f>
              <c:numCache>
                <c:formatCode>General</c:formatCode>
                <c:ptCount val="12"/>
                <c:pt idx="0">
                  <c:v>40</c:v>
                </c:pt>
                <c:pt idx="1">
                  <c:v>292</c:v>
                </c:pt>
                <c:pt idx="2">
                  <c:v>95</c:v>
                </c:pt>
                <c:pt idx="3">
                  <c:v>16</c:v>
                </c:pt>
                <c:pt idx="4">
                  <c:v>39</c:v>
                </c:pt>
                <c:pt idx="5">
                  <c:v>27</c:v>
                </c:pt>
                <c:pt idx="6">
                  <c:v>17</c:v>
                </c:pt>
                <c:pt idx="7">
                  <c:v>25</c:v>
                </c:pt>
                <c:pt idx="8">
                  <c:v>962</c:v>
                </c:pt>
                <c:pt idx="9">
                  <c:v>429</c:v>
                </c:pt>
                <c:pt idx="10">
                  <c:v>18</c:v>
                </c:pt>
                <c:pt idx="11">
                  <c:v>17</c:v>
                </c:pt>
              </c:numCache>
            </c:numRef>
          </c:val>
          <c:extLst>
            <c:ext xmlns:c16="http://schemas.microsoft.com/office/drawing/2014/chart" uri="{C3380CC4-5D6E-409C-BE32-E72D297353CC}">
              <c16:uniqueId val="{00000000-CEF0-D341-B1D0-0A31F3A72221}"/>
            </c:ext>
          </c:extLst>
        </c:ser>
        <c:ser>
          <c:idx val="1"/>
          <c:order val="1"/>
          <c:tx>
            <c:strRef>
              <c:f>Monthly_Overview_Lives!$C$1</c:f>
              <c:strCache>
                <c:ptCount val="1"/>
                <c:pt idx="0">
                  <c:v>Total No. of Dependents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Monthly_Overview_Lives!$A$2:$A$14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Monthly_Overview_Lives!$C$2:$C$14</c:f>
              <c:numCache>
                <c:formatCode>General</c:formatCode>
                <c:ptCount val="12"/>
                <c:pt idx="0">
                  <c:v>49</c:v>
                </c:pt>
                <c:pt idx="1">
                  <c:v>81</c:v>
                </c:pt>
                <c:pt idx="2">
                  <c:v>93</c:v>
                </c:pt>
                <c:pt idx="3">
                  <c:v>2</c:v>
                </c:pt>
                <c:pt idx="4">
                  <c:v>62</c:v>
                </c:pt>
                <c:pt idx="5">
                  <c:v>57</c:v>
                </c:pt>
                <c:pt idx="6">
                  <c:v>9</c:v>
                </c:pt>
                <c:pt idx="7">
                  <c:v>35</c:v>
                </c:pt>
                <c:pt idx="8">
                  <c:v>35</c:v>
                </c:pt>
                <c:pt idx="9">
                  <c:v>462</c:v>
                </c:pt>
                <c:pt idx="10">
                  <c:v>21</c:v>
                </c:pt>
                <c:pt idx="11">
                  <c:v>27</c:v>
                </c:pt>
              </c:numCache>
            </c:numRef>
          </c:val>
          <c:extLst>
            <c:ext xmlns:c16="http://schemas.microsoft.com/office/drawing/2014/chart" uri="{C3380CC4-5D6E-409C-BE32-E72D297353CC}">
              <c16:uniqueId val="{00000004-CEF0-D341-B1D0-0A31F3A72221}"/>
            </c:ext>
          </c:extLst>
        </c:ser>
        <c:dLbls>
          <c:showLegendKey val="0"/>
          <c:showVal val="0"/>
          <c:showCatName val="0"/>
          <c:showSerName val="0"/>
          <c:showPercent val="0"/>
          <c:showBubbleSize val="0"/>
        </c:dLbls>
        <c:gapWidth val="219"/>
        <c:overlap val="100"/>
        <c:axId val="1461847040"/>
        <c:axId val="1461855600"/>
      </c:barChart>
      <c:catAx>
        <c:axId val="14618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5600"/>
        <c:crosses val="autoZero"/>
        <c:auto val="1"/>
        <c:lblAlgn val="ctr"/>
        <c:lblOffset val="100"/>
        <c:noMultiLvlLbl val="0"/>
      </c:catAx>
      <c:valAx>
        <c:axId val="14618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updated.xlsx]Monthly_Prem_Channel!PivotTable1</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Monthly_Prem_Channel!$B$1:$B$2</c:f>
              <c:strCache>
                <c:ptCount val="1"/>
                <c:pt idx="0">
                  <c:v>Agent</c:v>
                </c:pt>
              </c:strCache>
            </c:strRef>
          </c:tx>
          <c:spPr>
            <a:solidFill>
              <a:schemeClr val="accent1"/>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Monthly_Prem_Channel!$B$3:$B$15</c:f>
              <c:numCache>
                <c:formatCode>[$RWF]\ #,##0.00</c:formatCode>
                <c:ptCount val="12"/>
                <c:pt idx="4">
                  <c:v>7888630.0500000007</c:v>
                </c:pt>
                <c:pt idx="6">
                  <c:v>19750108.800000001</c:v>
                </c:pt>
                <c:pt idx="8">
                  <c:v>15872152.199999999</c:v>
                </c:pt>
                <c:pt idx="9">
                  <c:v>24688611.699999999</c:v>
                </c:pt>
              </c:numCache>
            </c:numRef>
          </c:val>
          <c:extLst>
            <c:ext xmlns:c16="http://schemas.microsoft.com/office/drawing/2014/chart" uri="{C3380CC4-5D6E-409C-BE32-E72D297353CC}">
              <c16:uniqueId val="{00000000-D11F-3F4E-843C-0E0F292DC882}"/>
            </c:ext>
          </c:extLst>
        </c:ser>
        <c:ser>
          <c:idx val="1"/>
          <c:order val="1"/>
          <c:tx>
            <c:strRef>
              <c:f>Monthly_Prem_Channel!$C$1:$C$2</c:f>
              <c:strCache>
                <c:ptCount val="1"/>
                <c:pt idx="0">
                  <c:v>Broker</c:v>
                </c:pt>
              </c:strCache>
            </c:strRef>
          </c:tx>
          <c:spPr>
            <a:solidFill>
              <a:schemeClr val="accent2"/>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Monthly_Prem_Channel!$C$3:$C$15</c:f>
              <c:numCache>
                <c:formatCode>[$RWF]\ #,##0.00</c:formatCode>
                <c:ptCount val="12"/>
                <c:pt idx="2">
                  <c:v>9532357.6500000004</c:v>
                </c:pt>
                <c:pt idx="5">
                  <c:v>30964168.199999999</c:v>
                </c:pt>
                <c:pt idx="7">
                  <c:v>20581809.949999999</c:v>
                </c:pt>
                <c:pt idx="9">
                  <c:v>5204911.25</c:v>
                </c:pt>
                <c:pt idx="11">
                  <c:v>16787963.100000001</c:v>
                </c:pt>
              </c:numCache>
            </c:numRef>
          </c:val>
          <c:extLst>
            <c:ext xmlns:c16="http://schemas.microsoft.com/office/drawing/2014/chart" uri="{C3380CC4-5D6E-409C-BE32-E72D297353CC}">
              <c16:uniqueId val="{00000002-CCC4-A743-9E04-977067D6BC17}"/>
            </c:ext>
          </c:extLst>
        </c:ser>
        <c:ser>
          <c:idx val="2"/>
          <c:order val="2"/>
          <c:tx>
            <c:strRef>
              <c:f>Monthly_Prem_Channel!$D$1:$D$2</c:f>
              <c:strCache>
                <c:ptCount val="1"/>
                <c:pt idx="0">
                  <c:v>Direct</c:v>
                </c:pt>
              </c:strCache>
            </c:strRef>
          </c:tx>
          <c:spPr>
            <a:solidFill>
              <a:schemeClr val="accent3"/>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Monthly_Prem_Channel!$D$3:$D$15</c:f>
              <c:numCache>
                <c:formatCode>[$RWF]\ #,##0.00</c:formatCode>
                <c:ptCount val="12"/>
                <c:pt idx="0">
                  <c:v>36989713.200000003</c:v>
                </c:pt>
                <c:pt idx="1">
                  <c:v>105439128.5</c:v>
                </c:pt>
                <c:pt idx="2">
                  <c:v>46222953.57117933</c:v>
                </c:pt>
                <c:pt idx="3">
                  <c:v>2279514.6</c:v>
                </c:pt>
                <c:pt idx="6">
                  <c:v>1011014.15</c:v>
                </c:pt>
                <c:pt idx="7">
                  <c:v>581424.69999999995</c:v>
                </c:pt>
                <c:pt idx="8">
                  <c:v>346741118.05000001</c:v>
                </c:pt>
                <c:pt idx="9">
                  <c:v>167209082.94999999</c:v>
                </c:pt>
                <c:pt idx="10">
                  <c:v>15544477.800000001</c:v>
                </c:pt>
                <c:pt idx="11">
                  <c:v>5080928.3000000007</c:v>
                </c:pt>
              </c:numCache>
            </c:numRef>
          </c:val>
          <c:extLst>
            <c:ext xmlns:c16="http://schemas.microsoft.com/office/drawing/2014/chart" uri="{C3380CC4-5D6E-409C-BE32-E72D297353CC}">
              <c16:uniqueId val="{00000003-CCC4-A743-9E04-977067D6BC17}"/>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RWF]\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updated.xlsx]Monthly_Lives_Channel!PivotTable1</c:name>
    <c:fmtId val="2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Monthly_Lives_Channel!$B$1:$B$2</c:f>
              <c:strCache>
                <c:ptCount val="1"/>
                <c:pt idx="0">
                  <c:v>Agent</c:v>
                </c:pt>
              </c:strCache>
            </c:strRef>
          </c:tx>
          <c:spPr>
            <a:solidFill>
              <a:schemeClr val="accent1"/>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Monthly_Lives_Channel!$B$3:$B$15</c:f>
              <c:numCache>
                <c:formatCode>General</c:formatCode>
                <c:ptCount val="12"/>
                <c:pt idx="4">
                  <c:v>101</c:v>
                </c:pt>
                <c:pt idx="6">
                  <c:v>24</c:v>
                </c:pt>
                <c:pt idx="8">
                  <c:v>45</c:v>
                </c:pt>
                <c:pt idx="9">
                  <c:v>68</c:v>
                </c:pt>
              </c:numCache>
            </c:numRef>
          </c:val>
          <c:extLst>
            <c:ext xmlns:c16="http://schemas.microsoft.com/office/drawing/2014/chart" uri="{C3380CC4-5D6E-409C-BE32-E72D297353CC}">
              <c16:uniqueId val="{00000003-6D82-EF40-9A85-59364C765C2F}"/>
            </c:ext>
          </c:extLst>
        </c:ser>
        <c:ser>
          <c:idx val="1"/>
          <c:order val="1"/>
          <c:tx>
            <c:strRef>
              <c:f>Monthly_Lives_Channel!$C$1:$C$2</c:f>
              <c:strCache>
                <c:ptCount val="1"/>
                <c:pt idx="0">
                  <c:v>Broker</c:v>
                </c:pt>
              </c:strCache>
            </c:strRef>
          </c:tx>
          <c:spPr>
            <a:solidFill>
              <a:schemeClr val="accent2"/>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Monthly_Lives_Channel!$C$3:$C$15</c:f>
              <c:numCache>
                <c:formatCode>General</c:formatCode>
                <c:ptCount val="12"/>
                <c:pt idx="2">
                  <c:v>48</c:v>
                </c:pt>
                <c:pt idx="5">
                  <c:v>84</c:v>
                </c:pt>
                <c:pt idx="7">
                  <c:v>59</c:v>
                </c:pt>
                <c:pt idx="9">
                  <c:v>14</c:v>
                </c:pt>
                <c:pt idx="11">
                  <c:v>30</c:v>
                </c:pt>
              </c:numCache>
            </c:numRef>
          </c:val>
          <c:extLst>
            <c:ext xmlns:c16="http://schemas.microsoft.com/office/drawing/2014/chart" uri="{C3380CC4-5D6E-409C-BE32-E72D297353CC}">
              <c16:uniqueId val="{00000000-2D89-5A41-9932-E86310B4D217}"/>
            </c:ext>
          </c:extLst>
        </c:ser>
        <c:ser>
          <c:idx val="2"/>
          <c:order val="2"/>
          <c:tx>
            <c:strRef>
              <c:f>Monthly_Lives_Channel!$D$1:$D$2</c:f>
              <c:strCache>
                <c:ptCount val="1"/>
                <c:pt idx="0">
                  <c:v>Direct</c:v>
                </c:pt>
              </c:strCache>
            </c:strRef>
          </c:tx>
          <c:spPr>
            <a:solidFill>
              <a:schemeClr val="accent3"/>
            </a:solidFill>
            <a:ln>
              <a:noFill/>
            </a:ln>
            <a:effectLst/>
          </c:spPr>
          <c:invertIfNegative val="0"/>
          <c:cat>
            <c:strRef>
              <c:f>Monthly_Lives_Channel!$A$3:$A$15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Monthly_Lives_Channel!$D$3:$D$15</c:f>
              <c:numCache>
                <c:formatCode>General</c:formatCode>
                <c:ptCount val="12"/>
                <c:pt idx="0">
                  <c:v>89</c:v>
                </c:pt>
                <c:pt idx="1">
                  <c:v>373</c:v>
                </c:pt>
                <c:pt idx="2">
                  <c:v>140</c:v>
                </c:pt>
                <c:pt idx="3">
                  <c:v>18</c:v>
                </c:pt>
                <c:pt idx="6">
                  <c:v>2</c:v>
                </c:pt>
                <c:pt idx="7">
                  <c:v>1</c:v>
                </c:pt>
                <c:pt idx="8">
                  <c:v>952</c:v>
                </c:pt>
                <c:pt idx="9">
                  <c:v>494</c:v>
                </c:pt>
                <c:pt idx="10">
                  <c:v>39</c:v>
                </c:pt>
                <c:pt idx="11">
                  <c:v>14</c:v>
                </c:pt>
              </c:numCache>
            </c:numRef>
          </c:val>
          <c:extLst>
            <c:ext xmlns:c16="http://schemas.microsoft.com/office/drawing/2014/chart" uri="{C3380CC4-5D6E-409C-BE32-E72D297353CC}">
              <c16:uniqueId val="{00000001-2D89-5A41-9932-E86310B4D217}"/>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updated.xlsx]Monthly_Prem_Segment!PivotTable1</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Monthly_Prem_Segment!$B$1:$B$2</c:f>
              <c:strCache>
                <c:ptCount val="1"/>
                <c:pt idx="0">
                  <c:v>Hares</c:v>
                </c:pt>
              </c:strCache>
            </c:strRef>
          </c:tx>
          <c:spPr>
            <a:solidFill>
              <a:schemeClr val="accent1"/>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Monthly_Prem_Segment!$B$3:$B$15</c:f>
              <c:numCache>
                <c:formatCode>[$RWF]\ #,##0.00</c:formatCode>
                <c:ptCount val="12"/>
                <c:pt idx="0">
                  <c:v>36989713.200000003</c:v>
                </c:pt>
                <c:pt idx="1">
                  <c:v>19723411.599999998</c:v>
                </c:pt>
                <c:pt idx="2">
                  <c:v>4049817.1</c:v>
                </c:pt>
                <c:pt idx="3">
                  <c:v>2279514.6</c:v>
                </c:pt>
                <c:pt idx="4">
                  <c:v>2439220.6</c:v>
                </c:pt>
                <c:pt idx="5">
                  <c:v>30964168.199999999</c:v>
                </c:pt>
                <c:pt idx="6">
                  <c:v>20761122.949999999</c:v>
                </c:pt>
                <c:pt idx="7">
                  <c:v>21163234.649999999</c:v>
                </c:pt>
                <c:pt idx="8">
                  <c:v>21817179.149999999</c:v>
                </c:pt>
                <c:pt idx="9">
                  <c:v>37827775.899999999</c:v>
                </c:pt>
                <c:pt idx="10">
                  <c:v>15544477.800000001</c:v>
                </c:pt>
                <c:pt idx="11">
                  <c:v>21868891.400000002</c:v>
                </c:pt>
              </c:numCache>
            </c:numRef>
          </c:val>
          <c:extLst>
            <c:ext xmlns:c16="http://schemas.microsoft.com/office/drawing/2014/chart" uri="{C3380CC4-5D6E-409C-BE32-E72D297353CC}">
              <c16:uniqueId val="{00000003-D014-3048-ABD2-DC2C531B7177}"/>
            </c:ext>
          </c:extLst>
        </c:ser>
        <c:ser>
          <c:idx val="1"/>
          <c:order val="1"/>
          <c:tx>
            <c:strRef>
              <c:f>Monthly_Prem_Segment!$C$1:$C$2</c:f>
              <c:strCache>
                <c:ptCount val="1"/>
                <c:pt idx="0">
                  <c:v>Tigers</c:v>
                </c:pt>
              </c:strCache>
            </c:strRef>
          </c:tx>
          <c:spPr>
            <a:solidFill>
              <a:schemeClr val="accent2"/>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Monthly_Prem_Segment!$C$3:$C$15</c:f>
              <c:numCache>
                <c:formatCode>[$RWF]\ #,##0.00</c:formatCode>
                <c:ptCount val="12"/>
                <c:pt idx="1">
                  <c:v>75096515</c:v>
                </c:pt>
                <c:pt idx="2">
                  <c:v>51705494.121179327</c:v>
                </c:pt>
                <c:pt idx="4">
                  <c:v>5449409.4500000002</c:v>
                </c:pt>
              </c:numCache>
            </c:numRef>
          </c:val>
          <c:extLst>
            <c:ext xmlns:c16="http://schemas.microsoft.com/office/drawing/2014/chart" uri="{C3380CC4-5D6E-409C-BE32-E72D297353CC}">
              <c16:uniqueId val="{00000000-2EC5-514E-A5EC-14D903C9E1C1}"/>
            </c:ext>
          </c:extLst>
        </c:ser>
        <c:ser>
          <c:idx val="2"/>
          <c:order val="2"/>
          <c:tx>
            <c:strRef>
              <c:f>Monthly_Prem_Segment!$D$1:$D$2</c:f>
              <c:strCache>
                <c:ptCount val="1"/>
                <c:pt idx="0">
                  <c:v>Whales</c:v>
                </c:pt>
              </c:strCache>
            </c:strRef>
          </c:tx>
          <c:spPr>
            <a:solidFill>
              <a:schemeClr val="accent3"/>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Monthly_Prem_Segment!$D$3:$D$15</c:f>
              <c:numCache>
                <c:formatCode>[$RWF]\ #,##0.00</c:formatCode>
                <c:ptCount val="12"/>
                <c:pt idx="8">
                  <c:v>340796091.10000002</c:v>
                </c:pt>
              </c:numCache>
            </c:numRef>
          </c:val>
          <c:extLst>
            <c:ext xmlns:c16="http://schemas.microsoft.com/office/drawing/2014/chart" uri="{C3380CC4-5D6E-409C-BE32-E72D297353CC}">
              <c16:uniqueId val="{00000001-2EC5-514E-A5EC-14D903C9E1C1}"/>
            </c:ext>
          </c:extLst>
        </c:ser>
        <c:ser>
          <c:idx val="3"/>
          <c:order val="3"/>
          <c:tx>
            <c:strRef>
              <c:f>Monthly_Prem_Segment!$E$1:$E$2</c:f>
              <c:strCache>
                <c:ptCount val="1"/>
                <c:pt idx="0">
                  <c:v>Elephants</c:v>
                </c:pt>
              </c:strCache>
            </c:strRef>
          </c:tx>
          <c:spPr>
            <a:solidFill>
              <a:schemeClr val="accent4"/>
            </a:solidFill>
            <a:ln>
              <a:noFill/>
            </a:ln>
            <a:effectLst/>
          </c:spPr>
          <c:invertIfNegative val="0"/>
          <c:cat>
            <c:strRef>
              <c:f>Monthly_Prem_Segment!$A$3:$A$15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Monthly_Prem_Segment!$E$3:$E$15</c:f>
              <c:numCache>
                <c:formatCode>[$RWF]\ #,##0.00</c:formatCode>
                <c:ptCount val="12"/>
                <c:pt idx="1">
                  <c:v>10619201.9</c:v>
                </c:pt>
                <c:pt idx="9">
                  <c:v>159274830</c:v>
                </c:pt>
              </c:numCache>
            </c:numRef>
          </c:val>
          <c:extLst>
            <c:ext xmlns:c16="http://schemas.microsoft.com/office/drawing/2014/chart" uri="{C3380CC4-5D6E-409C-BE32-E72D297353CC}">
              <c16:uniqueId val="{00000001-28EA-1848-ADC6-5239E8A9B8F0}"/>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RWF]\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updated.xlsx]Monthly_Lives_Segment!PivotTable1</c:name>
    <c:fmtId val="2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Monthly_Lives_Segment!$B$1:$B$2</c:f>
              <c:strCache>
                <c:ptCount val="1"/>
                <c:pt idx="0">
                  <c:v>Hares</c:v>
                </c:pt>
              </c:strCache>
            </c:strRef>
          </c:tx>
          <c:spPr>
            <a:solidFill>
              <a:schemeClr val="accent1"/>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Monthly_Lives_Segment!$B$3:$B$15</c:f>
              <c:numCache>
                <c:formatCode>General</c:formatCode>
                <c:ptCount val="12"/>
                <c:pt idx="0">
                  <c:v>89</c:v>
                </c:pt>
                <c:pt idx="1">
                  <c:v>34</c:v>
                </c:pt>
                <c:pt idx="2">
                  <c:v>7</c:v>
                </c:pt>
                <c:pt idx="3">
                  <c:v>18</c:v>
                </c:pt>
                <c:pt idx="4">
                  <c:v>4</c:v>
                </c:pt>
                <c:pt idx="5">
                  <c:v>84</c:v>
                </c:pt>
                <c:pt idx="6">
                  <c:v>26</c:v>
                </c:pt>
                <c:pt idx="7">
                  <c:v>60</c:v>
                </c:pt>
                <c:pt idx="8">
                  <c:v>69</c:v>
                </c:pt>
                <c:pt idx="9">
                  <c:v>101</c:v>
                </c:pt>
                <c:pt idx="10">
                  <c:v>39</c:v>
                </c:pt>
                <c:pt idx="11">
                  <c:v>44</c:v>
                </c:pt>
              </c:numCache>
            </c:numRef>
          </c:val>
          <c:extLst>
            <c:ext xmlns:c16="http://schemas.microsoft.com/office/drawing/2014/chart" uri="{C3380CC4-5D6E-409C-BE32-E72D297353CC}">
              <c16:uniqueId val="{00000004-F4EA-074A-8B34-1E0E8CF9610C}"/>
            </c:ext>
          </c:extLst>
        </c:ser>
        <c:ser>
          <c:idx val="1"/>
          <c:order val="1"/>
          <c:tx>
            <c:strRef>
              <c:f>Monthly_Lives_Segment!$C$1:$C$2</c:f>
              <c:strCache>
                <c:ptCount val="1"/>
                <c:pt idx="0">
                  <c:v>Tigers</c:v>
                </c:pt>
              </c:strCache>
            </c:strRef>
          </c:tx>
          <c:spPr>
            <a:solidFill>
              <a:schemeClr val="accent2"/>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Monthly_Lives_Segment!$C$3:$C$15</c:f>
              <c:numCache>
                <c:formatCode>General</c:formatCode>
                <c:ptCount val="12"/>
                <c:pt idx="1">
                  <c:v>187</c:v>
                </c:pt>
                <c:pt idx="2">
                  <c:v>181</c:v>
                </c:pt>
                <c:pt idx="4">
                  <c:v>97</c:v>
                </c:pt>
              </c:numCache>
            </c:numRef>
          </c:val>
          <c:extLst>
            <c:ext xmlns:c16="http://schemas.microsoft.com/office/drawing/2014/chart" uri="{C3380CC4-5D6E-409C-BE32-E72D297353CC}">
              <c16:uniqueId val="{00000000-7243-1046-BA78-887D956DB000}"/>
            </c:ext>
          </c:extLst>
        </c:ser>
        <c:ser>
          <c:idx val="2"/>
          <c:order val="2"/>
          <c:tx>
            <c:strRef>
              <c:f>Monthly_Lives_Segment!$D$1:$D$2</c:f>
              <c:strCache>
                <c:ptCount val="1"/>
                <c:pt idx="0">
                  <c:v>Whales</c:v>
                </c:pt>
              </c:strCache>
            </c:strRef>
          </c:tx>
          <c:spPr>
            <a:solidFill>
              <a:schemeClr val="accent3"/>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Monthly_Lives_Segment!$D$3:$D$15</c:f>
              <c:numCache>
                <c:formatCode>General</c:formatCode>
                <c:ptCount val="12"/>
                <c:pt idx="8">
                  <c:v>928</c:v>
                </c:pt>
              </c:numCache>
            </c:numRef>
          </c:val>
          <c:extLst>
            <c:ext xmlns:c16="http://schemas.microsoft.com/office/drawing/2014/chart" uri="{C3380CC4-5D6E-409C-BE32-E72D297353CC}">
              <c16:uniqueId val="{00000001-7243-1046-BA78-887D956DB000}"/>
            </c:ext>
          </c:extLst>
        </c:ser>
        <c:ser>
          <c:idx val="3"/>
          <c:order val="3"/>
          <c:tx>
            <c:strRef>
              <c:f>Monthly_Lives_Segment!$E$1:$E$2</c:f>
              <c:strCache>
                <c:ptCount val="1"/>
                <c:pt idx="0">
                  <c:v>Elephants</c:v>
                </c:pt>
              </c:strCache>
            </c:strRef>
          </c:tx>
          <c:spPr>
            <a:solidFill>
              <a:schemeClr val="accent4"/>
            </a:solidFill>
            <a:ln>
              <a:noFill/>
            </a:ln>
            <a:effectLst/>
          </c:spPr>
          <c:invertIfNegative val="0"/>
          <c:cat>
            <c:strRef>
              <c:f>Monthly_Lives_Segment!$A$3:$A$15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Monthly_Lives_Segment!$E$3:$E$15</c:f>
              <c:numCache>
                <c:formatCode>General</c:formatCode>
                <c:ptCount val="12"/>
                <c:pt idx="1">
                  <c:v>152</c:v>
                </c:pt>
                <c:pt idx="9">
                  <c:v>475</c:v>
                </c:pt>
              </c:numCache>
            </c:numRef>
          </c:val>
          <c:extLst>
            <c:ext xmlns:c16="http://schemas.microsoft.com/office/drawing/2014/chart" uri="{C3380CC4-5D6E-409C-BE32-E72D297353CC}">
              <c16:uniqueId val="{00000000-C15F-A74A-B3DD-DBC295DB18B9}"/>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Principal Lives Insured vs Average Principal Premium Per Annum</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dLbls>
            <c:dLbl>
              <c:idx val="0"/>
              <c:tx>
                <c:rich>
                  <a:bodyPr/>
                  <a:lstStyle/>
                  <a:p>
                    <a:fld id="{944E359E-5710-E045-A80C-6D8482A480A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828-7C41-BE53-814A7ACBD2D8}"/>
                </c:ext>
              </c:extLst>
            </c:dLbl>
            <c:dLbl>
              <c:idx val="1"/>
              <c:tx>
                <c:rich>
                  <a:bodyPr/>
                  <a:lstStyle/>
                  <a:p>
                    <a:fld id="{A8782F13-4E66-534F-9394-AA572B6E79A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828-7C41-BE53-814A7ACBD2D8}"/>
                </c:ext>
              </c:extLst>
            </c:dLbl>
            <c:dLbl>
              <c:idx val="2"/>
              <c:tx>
                <c:rich>
                  <a:bodyPr/>
                  <a:lstStyle/>
                  <a:p>
                    <a:fld id="{66C892AB-BBDA-DD41-824C-00C6F34794B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828-7C41-BE53-814A7ACBD2D8}"/>
                </c:ext>
              </c:extLst>
            </c:dLbl>
            <c:dLbl>
              <c:idx val="3"/>
              <c:tx>
                <c:rich>
                  <a:bodyPr/>
                  <a:lstStyle/>
                  <a:p>
                    <a:fld id="{9CC772A5-BC85-4A4A-958B-063C70CF26E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828-7C41-BE53-814A7ACBD2D8}"/>
                </c:ext>
              </c:extLst>
            </c:dLbl>
            <c:dLbl>
              <c:idx val="4"/>
              <c:tx>
                <c:rich>
                  <a:bodyPr/>
                  <a:lstStyle/>
                  <a:p>
                    <a:fld id="{D972551B-C424-934D-B02F-80647BC181D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828-7C41-BE53-814A7ACBD2D8}"/>
                </c:ext>
              </c:extLst>
            </c:dLbl>
            <c:dLbl>
              <c:idx val="5"/>
              <c:tx>
                <c:rich>
                  <a:bodyPr/>
                  <a:lstStyle/>
                  <a:p>
                    <a:fld id="{A94CDF90-F1D9-CF4D-AE87-442663AF39C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828-7C41-BE53-814A7ACBD2D8}"/>
                </c:ext>
              </c:extLst>
            </c:dLbl>
            <c:dLbl>
              <c:idx val="6"/>
              <c:tx>
                <c:rich>
                  <a:bodyPr/>
                  <a:lstStyle/>
                  <a:p>
                    <a:fld id="{1E4F79F6-1D73-B546-B7F0-57F39916CB7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828-7C41-BE53-814A7ACBD2D8}"/>
                </c:ext>
              </c:extLst>
            </c:dLbl>
            <c:dLbl>
              <c:idx val="7"/>
              <c:tx>
                <c:rich>
                  <a:bodyPr/>
                  <a:lstStyle/>
                  <a:p>
                    <a:fld id="{89EBA16C-5B1D-4343-BE88-B14BF74319F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828-7C41-BE53-814A7ACBD2D8}"/>
                </c:ext>
              </c:extLst>
            </c:dLbl>
            <c:dLbl>
              <c:idx val="8"/>
              <c:tx>
                <c:rich>
                  <a:bodyPr/>
                  <a:lstStyle/>
                  <a:p>
                    <a:fld id="{1BBD5831-9607-CF41-BD1B-373B01988C3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828-7C41-BE53-814A7ACBD2D8}"/>
                </c:ext>
              </c:extLst>
            </c:dLbl>
            <c:dLbl>
              <c:idx val="9"/>
              <c:tx>
                <c:rich>
                  <a:bodyPr/>
                  <a:lstStyle/>
                  <a:p>
                    <a:fld id="{D20A283D-D497-D244-B297-3E2F9171102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828-7C41-BE53-814A7ACBD2D8}"/>
                </c:ext>
              </c:extLst>
            </c:dLbl>
            <c:dLbl>
              <c:idx val="10"/>
              <c:tx>
                <c:rich>
                  <a:bodyPr/>
                  <a:lstStyle/>
                  <a:p>
                    <a:fld id="{EA59C8C7-3AF3-EB48-A285-FB84E6AC1E8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828-7C41-BE53-814A7ACBD2D8}"/>
                </c:ext>
              </c:extLst>
            </c:dLbl>
            <c:dLbl>
              <c:idx val="11"/>
              <c:tx>
                <c:rich>
                  <a:bodyPr/>
                  <a:lstStyle/>
                  <a:p>
                    <a:fld id="{31158D2A-7EEE-8A4C-8CC4-9C94377D1BC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828-7C41-BE53-814A7ACBD2D8}"/>
                </c:ext>
              </c:extLst>
            </c:dLbl>
            <c:dLbl>
              <c:idx val="12"/>
              <c:tx>
                <c:rich>
                  <a:bodyPr/>
                  <a:lstStyle/>
                  <a:p>
                    <a:fld id="{F6858097-A209-6B46-8F52-66EF0568759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828-7C41-BE53-814A7ACBD2D8}"/>
                </c:ext>
              </c:extLst>
            </c:dLbl>
            <c:dLbl>
              <c:idx val="13"/>
              <c:tx>
                <c:rich>
                  <a:bodyPr/>
                  <a:lstStyle/>
                  <a:p>
                    <a:fld id="{9749CD0F-0DAA-E044-9A85-F384D6374BC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828-7C41-BE53-814A7ACBD2D8}"/>
                </c:ext>
              </c:extLst>
            </c:dLbl>
            <c:dLbl>
              <c:idx val="14"/>
              <c:tx>
                <c:rich>
                  <a:bodyPr/>
                  <a:lstStyle/>
                  <a:p>
                    <a:fld id="{AFE39122-321A-B94F-96BB-06661BE868B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828-7C41-BE53-814A7ACBD2D8}"/>
                </c:ext>
              </c:extLst>
            </c:dLbl>
            <c:dLbl>
              <c:idx val="15"/>
              <c:tx>
                <c:rich>
                  <a:bodyPr/>
                  <a:lstStyle/>
                  <a:p>
                    <a:fld id="{9278C9A2-2C5D-964C-9D3F-785561830B6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828-7C41-BE53-814A7ACBD2D8}"/>
                </c:ext>
              </c:extLst>
            </c:dLbl>
            <c:dLbl>
              <c:idx val="16"/>
              <c:tx>
                <c:rich>
                  <a:bodyPr/>
                  <a:lstStyle/>
                  <a:p>
                    <a:fld id="{DD6978ED-48BC-1740-97EC-615017103B4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828-7C41-BE53-814A7ACBD2D8}"/>
                </c:ext>
              </c:extLst>
            </c:dLbl>
            <c:dLbl>
              <c:idx val="17"/>
              <c:tx>
                <c:rich>
                  <a:bodyPr/>
                  <a:lstStyle/>
                  <a:p>
                    <a:fld id="{F55962D0-ECA3-8F4E-A786-B12FF454F9E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828-7C41-BE53-814A7ACBD2D8}"/>
                </c:ext>
              </c:extLst>
            </c:dLbl>
            <c:dLbl>
              <c:idx val="18"/>
              <c:tx>
                <c:rich>
                  <a:bodyPr/>
                  <a:lstStyle/>
                  <a:p>
                    <a:fld id="{A4F69D96-E528-804C-91E7-49A5F0F0F2E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828-7C41-BE53-814A7ACBD2D8}"/>
                </c:ext>
              </c:extLst>
            </c:dLbl>
            <c:dLbl>
              <c:idx val="19"/>
              <c:tx>
                <c:rich>
                  <a:bodyPr/>
                  <a:lstStyle/>
                  <a:p>
                    <a:fld id="{E040A06D-F32C-FA4C-8F08-E4F1E13D3AD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828-7C41-BE53-814A7ACBD2D8}"/>
                </c:ext>
              </c:extLst>
            </c:dLbl>
            <c:dLbl>
              <c:idx val="20"/>
              <c:tx>
                <c:rich>
                  <a:bodyPr/>
                  <a:lstStyle/>
                  <a:p>
                    <a:fld id="{7EF91340-1C58-F045-A480-A852D9D9269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828-7C41-BE53-814A7ACBD2D8}"/>
                </c:ext>
              </c:extLst>
            </c:dLbl>
            <c:dLbl>
              <c:idx val="21"/>
              <c:tx>
                <c:rich>
                  <a:bodyPr/>
                  <a:lstStyle/>
                  <a:p>
                    <a:fld id="{6B943412-64E4-C247-99D7-68F16E3AA81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828-7C41-BE53-814A7ACBD2D8}"/>
                </c:ext>
              </c:extLst>
            </c:dLbl>
            <c:dLbl>
              <c:idx val="22"/>
              <c:tx>
                <c:rich>
                  <a:bodyPr/>
                  <a:lstStyle/>
                  <a:p>
                    <a:fld id="{893AA4FC-3782-FB47-B027-77E9B99AB0E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828-7C41-BE53-814A7ACBD2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Client_Metric_Analysis!$B$28:$B$50</c:f>
              <c:numCache>
                <c:formatCode>#,##0</c:formatCode>
                <c:ptCount val="23"/>
                <c:pt idx="0">
                  <c:v>4</c:v>
                </c:pt>
                <c:pt idx="1">
                  <c:v>1</c:v>
                </c:pt>
                <c:pt idx="2">
                  <c:v>15</c:v>
                </c:pt>
                <c:pt idx="3">
                  <c:v>1</c:v>
                </c:pt>
                <c:pt idx="4">
                  <c:v>1</c:v>
                </c:pt>
                <c:pt idx="5">
                  <c:v>5</c:v>
                </c:pt>
                <c:pt idx="6">
                  <c:v>1</c:v>
                </c:pt>
                <c:pt idx="7">
                  <c:v>11</c:v>
                </c:pt>
                <c:pt idx="8">
                  <c:v>3</c:v>
                </c:pt>
                <c:pt idx="9">
                  <c:v>1</c:v>
                </c:pt>
                <c:pt idx="10">
                  <c:v>8</c:v>
                </c:pt>
                <c:pt idx="11">
                  <c:v>22</c:v>
                </c:pt>
                <c:pt idx="12">
                  <c:v>1</c:v>
                </c:pt>
                <c:pt idx="13">
                  <c:v>1</c:v>
                </c:pt>
                <c:pt idx="14">
                  <c:v>4</c:v>
                </c:pt>
                <c:pt idx="15">
                  <c:v>1</c:v>
                </c:pt>
                <c:pt idx="16">
                  <c:v>9</c:v>
                </c:pt>
                <c:pt idx="17">
                  <c:v>6</c:v>
                </c:pt>
                <c:pt idx="18">
                  <c:v>152</c:v>
                </c:pt>
                <c:pt idx="19">
                  <c:v>54</c:v>
                </c:pt>
                <c:pt idx="20">
                  <c:v>1</c:v>
                </c:pt>
                <c:pt idx="21">
                  <c:v>6</c:v>
                </c:pt>
                <c:pt idx="22">
                  <c:v>1977</c:v>
                </c:pt>
              </c:numCache>
            </c:numRef>
          </c:xVal>
          <c:yVal>
            <c:numRef>
              <c:f>Client_Metric_Analysis!$C$28:$C$50</c:f>
              <c:numCache>
                <c:formatCode>[$RWF]\ #,##0</c:formatCode>
                <c:ptCount val="23"/>
                <c:pt idx="0">
                  <c:v>5204911.25</c:v>
                </c:pt>
                <c:pt idx="1">
                  <c:v>498063.1</c:v>
                </c:pt>
                <c:pt idx="2">
                  <c:v>13147099.9</c:v>
                </c:pt>
                <c:pt idx="3">
                  <c:v>661090.30000000005</c:v>
                </c:pt>
                <c:pt idx="4">
                  <c:v>1238224.5</c:v>
                </c:pt>
                <c:pt idx="5">
                  <c:v>4590235.1500000004</c:v>
                </c:pt>
                <c:pt idx="6">
                  <c:v>490693.15</c:v>
                </c:pt>
                <c:pt idx="7">
                  <c:v>16787963.100000001</c:v>
                </c:pt>
                <c:pt idx="8">
                  <c:v>1505520.9</c:v>
                </c:pt>
                <c:pt idx="9">
                  <c:v>1824494.95</c:v>
                </c:pt>
                <c:pt idx="10">
                  <c:v>4625859.3499999996</c:v>
                </c:pt>
                <c:pt idx="11">
                  <c:v>22909305.050000001</c:v>
                </c:pt>
                <c:pt idx="12">
                  <c:v>2918381.6</c:v>
                </c:pt>
                <c:pt idx="13">
                  <c:v>490693.15</c:v>
                </c:pt>
                <c:pt idx="14">
                  <c:v>2715458.2</c:v>
                </c:pt>
                <c:pt idx="15">
                  <c:v>621831.85</c:v>
                </c:pt>
                <c:pt idx="16">
                  <c:v>12157557.5</c:v>
                </c:pt>
                <c:pt idx="17">
                  <c:v>3126479.85</c:v>
                </c:pt>
                <c:pt idx="18">
                  <c:v>10619201.9</c:v>
                </c:pt>
                <c:pt idx="19">
                  <c:v>24548031.149999999</c:v>
                </c:pt>
                <c:pt idx="20">
                  <c:v>717463.75</c:v>
                </c:pt>
                <c:pt idx="21">
                  <c:v>3100078.65</c:v>
                </c:pt>
                <c:pt idx="22">
                  <c:v>878370068.72117937</c:v>
                </c:pt>
              </c:numCache>
            </c:numRef>
          </c:yVal>
          <c:bubbleSize>
            <c:numRef>
              <c:f>Client_Metric_Analysis!$D$28:$D$50</c:f>
              <c:numCache>
                <c:formatCode>#,##0.00</c:formatCode>
                <c:ptCount val="23"/>
                <c:pt idx="0">
                  <c:v>2.5</c:v>
                </c:pt>
                <c:pt idx="1">
                  <c:v>0</c:v>
                </c:pt>
                <c:pt idx="2">
                  <c:v>1.2666666666666666</c:v>
                </c:pt>
                <c:pt idx="3">
                  <c:v>0</c:v>
                </c:pt>
                <c:pt idx="4">
                  <c:v>2</c:v>
                </c:pt>
                <c:pt idx="5">
                  <c:v>1.6</c:v>
                </c:pt>
                <c:pt idx="6">
                  <c:v>0</c:v>
                </c:pt>
                <c:pt idx="7">
                  <c:v>1.7272727272727273</c:v>
                </c:pt>
                <c:pt idx="8">
                  <c:v>0</c:v>
                </c:pt>
                <c:pt idx="9">
                  <c:v>3</c:v>
                </c:pt>
                <c:pt idx="10">
                  <c:v>0.25</c:v>
                </c:pt>
                <c:pt idx="11">
                  <c:v>1.6818181818181819</c:v>
                </c:pt>
                <c:pt idx="12">
                  <c:v>4</c:v>
                </c:pt>
                <c:pt idx="13">
                  <c:v>0</c:v>
                </c:pt>
                <c:pt idx="14">
                  <c:v>0.75</c:v>
                </c:pt>
                <c:pt idx="15">
                  <c:v>0</c:v>
                </c:pt>
                <c:pt idx="16">
                  <c:v>1.2222222222222223</c:v>
                </c:pt>
                <c:pt idx="17">
                  <c:v>0</c:v>
                </c:pt>
                <c:pt idx="18">
                  <c:v>0</c:v>
                </c:pt>
                <c:pt idx="19">
                  <c:v>0.33333333333333331</c:v>
                </c:pt>
                <c:pt idx="20">
                  <c:v>0</c:v>
                </c:pt>
                <c:pt idx="21">
                  <c:v>0</c:v>
                </c:pt>
                <c:pt idx="22">
                  <c:v>1.0302762648156076</c:v>
                </c:pt>
              </c:numCache>
            </c:numRef>
          </c:bubbleSize>
          <c:bubble3D val="0"/>
          <c:extLst>
            <c:ext xmlns:c15="http://schemas.microsoft.com/office/drawing/2012/chart" uri="{02D57815-91ED-43cb-92C2-25804820EDAC}">
              <c15:datalabelsRange>
                <c15:f>Client_Metric_Analysis!$A$28:$A$50</c15:f>
                <c15:dlblRangeCache>
                  <c:ptCount val="23"/>
                  <c:pt idx="0">
                    <c:v>GARDAWORLD (RWANDA) Ltd</c:v>
                  </c:pt>
                  <c:pt idx="1">
                    <c:v>NSENGIYUMVA VINCENT</c:v>
                  </c:pt>
                  <c:pt idx="2">
                    <c:v>KIVU CHOICE LIMITED</c:v>
                  </c:pt>
                  <c:pt idx="3">
                    <c:v>ACME TECHNOLOGIES LTD</c:v>
                  </c:pt>
                  <c:pt idx="4">
                    <c:v>RON WEISS</c:v>
                  </c:pt>
                  <c:pt idx="5">
                    <c:v>STRADH Ltd - B</c:v>
                  </c:pt>
                  <c:pt idx="6">
                    <c:v>NIYITANGA KWIZERA SYLVIE</c:v>
                  </c:pt>
                  <c:pt idx="7">
                    <c:v>COMMUNITY BASED SOCIOTHERAPY</c:v>
                  </c:pt>
                  <c:pt idx="8">
                    <c:v>PLASTIC SURGERY AND BEAUTY CLINICS</c:v>
                  </c:pt>
                  <c:pt idx="9">
                    <c:v>PROSPER NSENGIYUMVA</c:v>
                  </c:pt>
                  <c:pt idx="10">
                    <c:v>AURA ENTERPRISES LTD</c:v>
                  </c:pt>
                  <c:pt idx="11">
                    <c:v>AXIOM NETWORKS LTD</c:v>
                  </c:pt>
                  <c:pt idx="12">
                    <c:v>JOSUE IBULUNGU</c:v>
                  </c:pt>
                  <c:pt idx="13">
                    <c:v>UMUGISHA KWIZERA LILIOSE</c:v>
                  </c:pt>
                  <c:pt idx="14">
                    <c:v>PRIME BIODIVERSITY CONSERVATION</c:v>
                  </c:pt>
                  <c:pt idx="15">
                    <c:v>UWABEZA FAUSTA</c:v>
                  </c:pt>
                  <c:pt idx="16">
                    <c:v>ESPARTNERS</c:v>
                  </c:pt>
                  <c:pt idx="17">
                    <c:v>UNLOCK IMPACT Ltd</c:v>
                  </c:pt>
                  <c:pt idx="18">
                    <c:v>KIVU CHOICE LTD-FUND</c:v>
                  </c:pt>
                  <c:pt idx="19">
                    <c:v>MIGHTY ENGINEERING</c:v>
                  </c:pt>
                  <c:pt idx="20">
                    <c:v>OPENFIELD RWANDA Limited</c:v>
                  </c:pt>
                  <c:pt idx="21">
                    <c:v>CHALLENGES RWANDA</c:v>
                  </c:pt>
                  <c:pt idx="22">
                    <c:v>Grand Total</c:v>
                  </c:pt>
                </c15:dlblRangeCache>
              </c15:datalabelsRange>
            </c:ext>
            <c:ext xmlns:c16="http://schemas.microsoft.com/office/drawing/2014/chart" uri="{C3380CC4-5D6E-409C-BE32-E72D297353CC}">
              <c16:uniqueId val="{00000017-D828-7C41-BE53-814A7ACBD2D8}"/>
            </c:ext>
          </c:extLst>
        </c:ser>
        <c:dLbls>
          <c:showLegendKey val="0"/>
          <c:showVal val="0"/>
          <c:showCatName val="0"/>
          <c:showSerName val="0"/>
          <c:showPercent val="0"/>
          <c:showBubbleSize val="0"/>
        </c:dLbls>
        <c:bubbleScale val="100"/>
        <c:showNegBubbles val="0"/>
        <c:axId val="1076163727"/>
        <c:axId val="1076165455"/>
      </c:bubbleChart>
      <c:valAx>
        <c:axId val="1076163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65455"/>
        <c:crosses val="autoZero"/>
        <c:crossBetween val="midCat"/>
      </c:valAx>
      <c:valAx>
        <c:axId val="1076165455"/>
        <c:scaling>
          <c:orientation val="minMax"/>
        </c:scaling>
        <c:delete val="0"/>
        <c:axPos val="l"/>
        <c:majorGridlines>
          <c:spPr>
            <a:ln w="9525" cap="flat" cmpd="sng" algn="ctr">
              <a:solidFill>
                <a:schemeClr val="tx1">
                  <a:lumMod val="15000"/>
                  <a:lumOff val="85000"/>
                </a:schemeClr>
              </a:solidFill>
              <a:round/>
            </a:ln>
            <a:effectLst/>
          </c:spPr>
        </c:majorGridlines>
        <c:numFmt formatCode="[$RWF]\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63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Annual Premium</a:t>
            </a:r>
            <a:r>
              <a:rPr lang="en-GB" baseline="0"/>
              <a:t> and Lives Covered Per Client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'Closed Sales Data'!$J$1</c:f>
              <c:strCache>
                <c:ptCount val="1"/>
                <c:pt idx="0">
                  <c:v>Total Premium</c:v>
                </c:pt>
              </c:strCache>
            </c:strRef>
          </c:tx>
          <c:spPr>
            <a:solidFill>
              <a:schemeClr val="accent1"/>
            </a:solidFill>
            <a:ln>
              <a:noFill/>
            </a:ln>
            <a:effectLst/>
          </c:spPr>
          <c:invertIfNegative val="0"/>
          <c:val>
            <c:numRef>
              <c:f>'Closed Sales Data'!$J$2:$J$50</c:f>
              <c:numCache>
                <c:formatCode>_(* #,##0_);_(* \(#,##0\);_(* "-"??_);_(@_)</c:formatCode>
                <c:ptCount val="49"/>
                <c:pt idx="0">
                  <c:v>23905892.399999999</c:v>
                </c:pt>
                <c:pt idx="1">
                  <c:v>9532357.6500000004</c:v>
                </c:pt>
                <c:pt idx="2">
                  <c:v>42173136.471179329</c:v>
                </c:pt>
                <c:pt idx="3">
                  <c:v>4049817.1</c:v>
                </c:pt>
                <c:pt idx="4">
                  <c:v>6255033.5999999996</c:v>
                </c:pt>
                <c:pt idx="5">
                  <c:v>2439220.6</c:v>
                </c:pt>
                <c:pt idx="6">
                  <c:v>11691444</c:v>
                </c:pt>
                <c:pt idx="7">
                  <c:v>498122.95</c:v>
                </c:pt>
                <c:pt idx="8">
                  <c:v>512891.2</c:v>
                </c:pt>
                <c:pt idx="9">
                  <c:v>6330164.3499999996</c:v>
                </c:pt>
                <c:pt idx="10">
                  <c:v>22471692.149999999</c:v>
                </c:pt>
                <c:pt idx="11">
                  <c:v>2162311.7000000002</c:v>
                </c:pt>
                <c:pt idx="12">
                  <c:v>19750108.800000001</c:v>
                </c:pt>
                <c:pt idx="13">
                  <c:v>6376120.5999999996</c:v>
                </c:pt>
                <c:pt idx="14">
                  <c:v>581424.69999999995</c:v>
                </c:pt>
                <c:pt idx="15">
                  <c:v>14205689.35</c:v>
                </c:pt>
                <c:pt idx="16">
                  <c:v>340796091.10000002</c:v>
                </c:pt>
                <c:pt idx="17">
                  <c:v>15872152.199999999</c:v>
                </c:pt>
                <c:pt idx="18">
                  <c:v>2873194.45</c:v>
                </c:pt>
                <c:pt idx="19">
                  <c:v>3071832.5</c:v>
                </c:pt>
                <c:pt idx="20">
                  <c:v>159274830</c:v>
                </c:pt>
                <c:pt idx="21">
                  <c:v>24688611.699999999</c:v>
                </c:pt>
                <c:pt idx="22">
                  <c:v>1662926.4</c:v>
                </c:pt>
                <c:pt idx="23">
                  <c:v>1576442.95</c:v>
                </c:pt>
                <c:pt idx="24">
                  <c:v>2033410.1</c:v>
                </c:pt>
                <c:pt idx="25">
                  <c:v>2661473.5</c:v>
                </c:pt>
                <c:pt idx="26">
                  <c:v>5204911.25</c:v>
                </c:pt>
                <c:pt idx="27">
                  <c:v>498063.1</c:v>
                </c:pt>
                <c:pt idx="28">
                  <c:v>13147099.9</c:v>
                </c:pt>
                <c:pt idx="29">
                  <c:v>661090.30000000005</c:v>
                </c:pt>
                <c:pt idx="30">
                  <c:v>1238224.5</c:v>
                </c:pt>
                <c:pt idx="31">
                  <c:v>4590235.1500000004</c:v>
                </c:pt>
                <c:pt idx="32">
                  <c:v>490693.15</c:v>
                </c:pt>
                <c:pt idx="33">
                  <c:v>16787963.100000001</c:v>
                </c:pt>
                <c:pt idx="34">
                  <c:v>1505520.9</c:v>
                </c:pt>
                <c:pt idx="35">
                  <c:v>1824494.95</c:v>
                </c:pt>
                <c:pt idx="36">
                  <c:v>4625859.3499999996</c:v>
                </c:pt>
                <c:pt idx="37">
                  <c:v>22909305.050000001</c:v>
                </c:pt>
                <c:pt idx="38">
                  <c:v>2918381.6</c:v>
                </c:pt>
                <c:pt idx="39">
                  <c:v>490693.15</c:v>
                </c:pt>
                <c:pt idx="40">
                  <c:v>2715458.2</c:v>
                </c:pt>
                <c:pt idx="41">
                  <c:v>621831.85</c:v>
                </c:pt>
                <c:pt idx="42">
                  <c:v>12157557.5</c:v>
                </c:pt>
                <c:pt idx="43">
                  <c:v>3126479.85</c:v>
                </c:pt>
                <c:pt idx="44">
                  <c:v>20648801.899999999</c:v>
                </c:pt>
                <c:pt idx="45">
                  <c:v>26642591.449999999</c:v>
                </c:pt>
                <c:pt idx="46">
                  <c:v>24548031.149999999</c:v>
                </c:pt>
                <c:pt idx="47">
                  <c:v>717463.75</c:v>
                </c:pt>
                <c:pt idx="48">
                  <c:v>3100078.65</c:v>
                </c:pt>
              </c:numCache>
            </c:numRef>
          </c:val>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0-09C3-F448-B48F-45901877B4FB}"/>
            </c:ext>
          </c:extLst>
        </c:ser>
        <c:dLbls>
          <c:showLegendKey val="0"/>
          <c:showVal val="0"/>
          <c:showCatName val="0"/>
          <c:showSerName val="0"/>
          <c:showPercent val="0"/>
          <c:showBubbleSize val="0"/>
        </c:dLbls>
        <c:gapWidth val="150"/>
        <c:axId val="1507200528"/>
        <c:axId val="1507448960"/>
      </c:barChart>
      <c:lineChart>
        <c:grouping val="standard"/>
        <c:varyColors val="0"/>
        <c:ser>
          <c:idx val="1"/>
          <c:order val="1"/>
          <c:tx>
            <c:strRef>
              <c:f>'Closed Sales Data'!$N$1</c:f>
              <c:strCache>
                <c:ptCount val="1"/>
                <c:pt idx="0">
                  <c:v>Total lives</c:v>
                </c:pt>
              </c:strCache>
            </c:strRef>
          </c:tx>
          <c:spPr>
            <a:ln w="28575" cap="rnd">
              <a:solidFill>
                <a:schemeClr val="accent2"/>
              </a:solidFill>
              <a:round/>
            </a:ln>
            <a:effectLst/>
          </c:spPr>
          <c:marker>
            <c:symbol val="none"/>
          </c:marker>
          <c:val>
            <c:numRef>
              <c:f>'Closed Sales Data'!$N$2:$N$50</c:f>
              <c:numCache>
                <c:formatCode>General</c:formatCode>
                <c:ptCount val="49"/>
                <c:pt idx="0">
                  <c:v>48</c:v>
                </c:pt>
                <c:pt idx="1">
                  <c:v>48</c:v>
                </c:pt>
                <c:pt idx="2">
                  <c:v>133</c:v>
                </c:pt>
                <c:pt idx="3">
                  <c:v>7</c:v>
                </c:pt>
                <c:pt idx="4">
                  <c:v>18</c:v>
                </c:pt>
                <c:pt idx="5">
                  <c:v>4</c:v>
                </c:pt>
                <c:pt idx="6">
                  <c:v>97</c:v>
                </c:pt>
                <c:pt idx="7">
                  <c:v>1</c:v>
                </c:pt>
                <c:pt idx="8">
                  <c:v>1</c:v>
                </c:pt>
                <c:pt idx="9">
                  <c:v>16</c:v>
                </c:pt>
                <c:pt idx="10">
                  <c:v>60</c:v>
                </c:pt>
                <c:pt idx="11">
                  <c:v>8</c:v>
                </c:pt>
                <c:pt idx="12">
                  <c:v>24</c:v>
                </c:pt>
                <c:pt idx="13">
                  <c:v>22</c:v>
                </c:pt>
                <c:pt idx="14">
                  <c:v>1</c:v>
                </c:pt>
                <c:pt idx="15">
                  <c:v>37</c:v>
                </c:pt>
                <c:pt idx="16">
                  <c:v>928</c:v>
                </c:pt>
                <c:pt idx="17">
                  <c:v>45</c:v>
                </c:pt>
                <c:pt idx="18">
                  <c:v>7</c:v>
                </c:pt>
                <c:pt idx="19">
                  <c:v>17</c:v>
                </c:pt>
                <c:pt idx="20">
                  <c:v>475</c:v>
                </c:pt>
                <c:pt idx="21">
                  <c:v>68</c:v>
                </c:pt>
                <c:pt idx="22">
                  <c:v>3</c:v>
                </c:pt>
                <c:pt idx="23">
                  <c:v>4</c:v>
                </c:pt>
                <c:pt idx="24">
                  <c:v>5</c:v>
                </c:pt>
                <c:pt idx="25">
                  <c:v>7</c:v>
                </c:pt>
                <c:pt idx="26">
                  <c:v>14</c:v>
                </c:pt>
                <c:pt idx="27">
                  <c:v>1</c:v>
                </c:pt>
                <c:pt idx="28">
                  <c:v>34</c:v>
                </c:pt>
                <c:pt idx="29">
                  <c:v>1</c:v>
                </c:pt>
                <c:pt idx="30">
                  <c:v>3</c:v>
                </c:pt>
                <c:pt idx="31">
                  <c:v>13</c:v>
                </c:pt>
                <c:pt idx="32">
                  <c:v>1</c:v>
                </c:pt>
                <c:pt idx="33">
                  <c:v>30</c:v>
                </c:pt>
                <c:pt idx="34">
                  <c:v>3</c:v>
                </c:pt>
                <c:pt idx="35">
                  <c:v>4</c:v>
                </c:pt>
                <c:pt idx="36">
                  <c:v>10</c:v>
                </c:pt>
                <c:pt idx="37">
                  <c:v>59</c:v>
                </c:pt>
                <c:pt idx="38">
                  <c:v>5</c:v>
                </c:pt>
                <c:pt idx="39">
                  <c:v>1</c:v>
                </c:pt>
                <c:pt idx="40">
                  <c:v>7</c:v>
                </c:pt>
                <c:pt idx="41">
                  <c:v>1</c:v>
                </c:pt>
                <c:pt idx="42">
                  <c:v>20</c:v>
                </c:pt>
                <c:pt idx="43">
                  <c:v>6</c:v>
                </c:pt>
                <c:pt idx="44">
                  <c:v>152</c:v>
                </c:pt>
                <c:pt idx="45">
                  <c:v>67</c:v>
                </c:pt>
                <c:pt idx="46">
                  <c:v>72</c:v>
                </c:pt>
                <c:pt idx="47">
                  <c:v>1</c:v>
                </c:pt>
                <c:pt idx="48">
                  <c:v>6</c:v>
                </c:pt>
              </c:numCache>
            </c:numRef>
          </c:val>
          <c:smooth val="0"/>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1-09C3-F448-B48F-45901877B4FB}"/>
            </c:ext>
          </c:extLst>
        </c:ser>
        <c:dLbls>
          <c:showLegendKey val="0"/>
          <c:showVal val="0"/>
          <c:showCatName val="0"/>
          <c:showSerName val="0"/>
          <c:showPercent val="0"/>
          <c:showBubbleSize val="0"/>
        </c:dLbls>
        <c:marker val="1"/>
        <c:smooth val="0"/>
        <c:axId val="2112469200"/>
        <c:axId val="2112467456"/>
      </c:lineChart>
      <c:catAx>
        <c:axId val="1507200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48960"/>
        <c:crosses val="autoZero"/>
        <c:auto val="1"/>
        <c:lblAlgn val="ctr"/>
        <c:lblOffset val="100"/>
        <c:noMultiLvlLbl val="0"/>
      </c:catAx>
      <c:valAx>
        <c:axId val="150744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a:t>
                </a:r>
                <a:r>
                  <a:rPr lang="en-GB" baseline="0"/>
                  <a:t> Premium in RWF</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200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21124674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Lives Covered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69200"/>
        <c:crosses val="max"/>
        <c:crossBetween val="between"/>
      </c:valAx>
      <c:catAx>
        <c:axId val="2112469200"/>
        <c:scaling>
          <c:orientation val="minMax"/>
        </c:scaling>
        <c:delete val="1"/>
        <c:axPos val="b"/>
        <c:numFmt formatCode="General" sourceLinked="1"/>
        <c:majorTickMark val="out"/>
        <c:minorTickMark val="none"/>
        <c:tickLblPos val="nextTo"/>
        <c:crossAx val="21124674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Lives Covered Per Client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'Closed Sales Data'!$L$1</c:f>
              <c:strCache>
                <c:ptCount val="1"/>
                <c:pt idx="0">
                  <c:v>No. of Principal Member</c:v>
                </c:pt>
              </c:strCache>
            </c:strRef>
          </c:tx>
          <c:spPr>
            <a:solidFill>
              <a:schemeClr val="accent1"/>
            </a:solidFill>
            <a:ln>
              <a:noFill/>
            </a:ln>
            <a:effectLst/>
          </c:spPr>
          <c:invertIfNegative val="0"/>
          <c:val>
            <c:numRef>
              <c:f>'Closed Sales Data'!$L$2:$L$50</c:f>
              <c:numCache>
                <c:formatCode>General</c:formatCode>
                <c:ptCount val="49"/>
                <c:pt idx="0">
                  <c:v>31</c:v>
                </c:pt>
                <c:pt idx="1">
                  <c:v>48</c:v>
                </c:pt>
                <c:pt idx="2">
                  <c:v>43</c:v>
                </c:pt>
                <c:pt idx="3">
                  <c:v>4</c:v>
                </c:pt>
                <c:pt idx="4">
                  <c:v>16</c:v>
                </c:pt>
                <c:pt idx="5">
                  <c:v>4</c:v>
                </c:pt>
                <c:pt idx="6">
                  <c:v>35</c:v>
                </c:pt>
                <c:pt idx="7">
                  <c:v>1</c:v>
                </c:pt>
                <c:pt idx="8">
                  <c:v>1</c:v>
                </c:pt>
                <c:pt idx="9">
                  <c:v>5</c:v>
                </c:pt>
                <c:pt idx="10">
                  <c:v>20</c:v>
                </c:pt>
                <c:pt idx="11">
                  <c:v>2</c:v>
                </c:pt>
                <c:pt idx="12">
                  <c:v>15</c:v>
                </c:pt>
                <c:pt idx="13">
                  <c:v>6</c:v>
                </c:pt>
                <c:pt idx="14">
                  <c:v>1</c:v>
                </c:pt>
                <c:pt idx="15">
                  <c:v>18</c:v>
                </c:pt>
                <c:pt idx="16">
                  <c:v>928</c:v>
                </c:pt>
                <c:pt idx="17">
                  <c:v>21</c:v>
                </c:pt>
                <c:pt idx="18">
                  <c:v>4</c:v>
                </c:pt>
                <c:pt idx="19">
                  <c:v>9</c:v>
                </c:pt>
                <c:pt idx="20">
                  <c:v>395</c:v>
                </c:pt>
                <c:pt idx="21">
                  <c:v>20</c:v>
                </c:pt>
                <c:pt idx="22">
                  <c:v>1</c:v>
                </c:pt>
                <c:pt idx="23">
                  <c:v>1</c:v>
                </c:pt>
                <c:pt idx="24">
                  <c:v>3</c:v>
                </c:pt>
                <c:pt idx="25">
                  <c:v>5</c:v>
                </c:pt>
                <c:pt idx="26">
                  <c:v>4</c:v>
                </c:pt>
                <c:pt idx="27">
                  <c:v>1</c:v>
                </c:pt>
                <c:pt idx="28">
                  <c:v>15</c:v>
                </c:pt>
                <c:pt idx="29">
                  <c:v>1</c:v>
                </c:pt>
                <c:pt idx="30">
                  <c:v>1</c:v>
                </c:pt>
                <c:pt idx="31">
                  <c:v>5</c:v>
                </c:pt>
                <c:pt idx="32">
                  <c:v>1</c:v>
                </c:pt>
                <c:pt idx="33">
                  <c:v>11</c:v>
                </c:pt>
                <c:pt idx="34">
                  <c:v>3</c:v>
                </c:pt>
                <c:pt idx="35">
                  <c:v>1</c:v>
                </c:pt>
                <c:pt idx="36">
                  <c:v>8</c:v>
                </c:pt>
                <c:pt idx="37">
                  <c:v>22</c:v>
                </c:pt>
                <c:pt idx="38">
                  <c:v>1</c:v>
                </c:pt>
                <c:pt idx="39">
                  <c:v>1</c:v>
                </c:pt>
                <c:pt idx="40">
                  <c:v>4</c:v>
                </c:pt>
                <c:pt idx="41">
                  <c:v>1</c:v>
                </c:pt>
                <c:pt idx="42">
                  <c:v>9</c:v>
                </c:pt>
                <c:pt idx="43">
                  <c:v>6</c:v>
                </c:pt>
                <c:pt idx="44">
                  <c:v>152</c:v>
                </c:pt>
                <c:pt idx="45">
                  <c:v>32</c:v>
                </c:pt>
                <c:pt idx="46">
                  <c:v>54</c:v>
                </c:pt>
                <c:pt idx="47">
                  <c:v>1</c:v>
                </c:pt>
                <c:pt idx="48">
                  <c:v>6</c:v>
                </c:pt>
              </c:numCache>
            </c:numRef>
          </c:val>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0-7281-114F-B355-4556BA623B13}"/>
            </c:ext>
          </c:extLst>
        </c:ser>
        <c:ser>
          <c:idx val="1"/>
          <c:order val="1"/>
          <c:tx>
            <c:strRef>
              <c:f>'Closed Sales Data'!$M$1</c:f>
              <c:strCache>
                <c:ptCount val="1"/>
                <c:pt idx="0">
                  <c:v>Dependents</c:v>
                </c:pt>
              </c:strCache>
            </c:strRef>
          </c:tx>
          <c:spPr>
            <a:solidFill>
              <a:schemeClr val="accent2"/>
            </a:solidFill>
            <a:ln>
              <a:noFill/>
            </a:ln>
            <a:effectLst/>
          </c:spPr>
          <c:invertIfNegative val="0"/>
          <c:val>
            <c:numRef>
              <c:f>'Closed Sales Data'!$M$2:$M$50</c:f>
              <c:numCache>
                <c:formatCode>General</c:formatCode>
                <c:ptCount val="49"/>
                <c:pt idx="0">
                  <c:v>17</c:v>
                </c:pt>
                <c:pt idx="1">
                  <c:v>0</c:v>
                </c:pt>
                <c:pt idx="2">
                  <c:v>90</c:v>
                </c:pt>
                <c:pt idx="3">
                  <c:v>3</c:v>
                </c:pt>
                <c:pt idx="4">
                  <c:v>2</c:v>
                </c:pt>
                <c:pt idx="5">
                  <c:v>0</c:v>
                </c:pt>
                <c:pt idx="6">
                  <c:v>62</c:v>
                </c:pt>
                <c:pt idx="7">
                  <c:v>0</c:v>
                </c:pt>
                <c:pt idx="8">
                  <c:v>0</c:v>
                </c:pt>
                <c:pt idx="9">
                  <c:v>11</c:v>
                </c:pt>
                <c:pt idx="10">
                  <c:v>40</c:v>
                </c:pt>
                <c:pt idx="11">
                  <c:v>6</c:v>
                </c:pt>
                <c:pt idx="12">
                  <c:v>9</c:v>
                </c:pt>
                <c:pt idx="13">
                  <c:v>16</c:v>
                </c:pt>
                <c:pt idx="14">
                  <c:v>0</c:v>
                </c:pt>
                <c:pt idx="15">
                  <c:v>19</c:v>
                </c:pt>
                <c:pt idx="16">
                  <c:v>0</c:v>
                </c:pt>
                <c:pt idx="17">
                  <c:v>24</c:v>
                </c:pt>
                <c:pt idx="18">
                  <c:v>3</c:v>
                </c:pt>
                <c:pt idx="19">
                  <c:v>8</c:v>
                </c:pt>
                <c:pt idx="20">
                  <c:v>395</c:v>
                </c:pt>
                <c:pt idx="21">
                  <c:v>48</c:v>
                </c:pt>
                <c:pt idx="22">
                  <c:v>2</c:v>
                </c:pt>
                <c:pt idx="23">
                  <c:v>3</c:v>
                </c:pt>
                <c:pt idx="24">
                  <c:v>2</c:v>
                </c:pt>
                <c:pt idx="25">
                  <c:v>2</c:v>
                </c:pt>
                <c:pt idx="26">
                  <c:v>10</c:v>
                </c:pt>
                <c:pt idx="27">
                  <c:v>0</c:v>
                </c:pt>
                <c:pt idx="28">
                  <c:v>19</c:v>
                </c:pt>
                <c:pt idx="29">
                  <c:v>0</c:v>
                </c:pt>
                <c:pt idx="30">
                  <c:v>2</c:v>
                </c:pt>
                <c:pt idx="31">
                  <c:v>8</c:v>
                </c:pt>
                <c:pt idx="32">
                  <c:v>0</c:v>
                </c:pt>
                <c:pt idx="33">
                  <c:v>19</c:v>
                </c:pt>
                <c:pt idx="34">
                  <c:v>0</c:v>
                </c:pt>
                <c:pt idx="35">
                  <c:v>3</c:v>
                </c:pt>
                <c:pt idx="36">
                  <c:v>2</c:v>
                </c:pt>
                <c:pt idx="37">
                  <c:v>37</c:v>
                </c:pt>
                <c:pt idx="38">
                  <c:v>4</c:v>
                </c:pt>
                <c:pt idx="39">
                  <c:v>0</c:v>
                </c:pt>
                <c:pt idx="40">
                  <c:v>3</c:v>
                </c:pt>
                <c:pt idx="41">
                  <c:v>0</c:v>
                </c:pt>
                <c:pt idx="42">
                  <c:v>11</c:v>
                </c:pt>
                <c:pt idx="43">
                  <c:v>0</c:v>
                </c:pt>
                <c:pt idx="44">
                  <c:v>0</c:v>
                </c:pt>
                <c:pt idx="45">
                  <c:v>35</c:v>
                </c:pt>
                <c:pt idx="46">
                  <c:v>18</c:v>
                </c:pt>
                <c:pt idx="47">
                  <c:v>0</c:v>
                </c:pt>
                <c:pt idx="48">
                  <c:v>0</c:v>
                </c:pt>
              </c:numCache>
            </c:numRef>
          </c:val>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1-7281-114F-B355-4556BA623B13}"/>
            </c:ext>
          </c:extLst>
        </c:ser>
        <c:dLbls>
          <c:showLegendKey val="0"/>
          <c:showVal val="0"/>
          <c:showCatName val="0"/>
          <c:showSerName val="0"/>
          <c:showPercent val="0"/>
          <c:showBubbleSize val="0"/>
        </c:dLbls>
        <c:gapWidth val="150"/>
        <c:overlap val="100"/>
        <c:axId val="2047958896"/>
        <c:axId val="2047960624"/>
      </c:barChart>
      <c:catAx>
        <c:axId val="20479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60624"/>
        <c:crosses val="autoZero"/>
        <c:auto val="1"/>
        <c:lblAlgn val="ctr"/>
        <c:lblOffset val="100"/>
        <c:noMultiLvlLbl val="0"/>
      </c:catAx>
      <c:valAx>
        <c:axId val="204796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Annual Premium</a:t>
            </a:r>
            <a:r>
              <a:rPr lang="en-GB" baseline="0"/>
              <a:t> and Lives Covered Per Client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'Closed Sales Data'!$K$1</c:f>
              <c:strCache>
                <c:ptCount val="1"/>
                <c:pt idx="0">
                  <c:v>Average Premium per Principal Member</c:v>
                </c:pt>
              </c:strCache>
            </c:strRef>
          </c:tx>
          <c:spPr>
            <a:solidFill>
              <a:schemeClr val="accent1"/>
            </a:solidFill>
            <a:ln>
              <a:noFill/>
            </a:ln>
            <a:effectLst/>
          </c:spPr>
          <c:invertIfNegative val="0"/>
          <c:val>
            <c:numRef>
              <c:f>'Closed Sales Data'!$K$2:$K$50</c:f>
              <c:numCache>
                <c:formatCode>_(* #,##0_);_(* \(#,##0\);_(* "-"??_);_(@_)</c:formatCode>
                <c:ptCount val="49"/>
                <c:pt idx="0">
                  <c:v>771157.81935483869</c:v>
                </c:pt>
                <c:pt idx="1">
                  <c:v>198590.78437500002</c:v>
                </c:pt>
                <c:pt idx="2">
                  <c:v>980770.61560882162</c:v>
                </c:pt>
                <c:pt idx="3">
                  <c:v>1012454.275</c:v>
                </c:pt>
                <c:pt idx="4">
                  <c:v>390939.6</c:v>
                </c:pt>
                <c:pt idx="5">
                  <c:v>609805.15</c:v>
                </c:pt>
                <c:pt idx="6">
                  <c:v>334041.25714285712</c:v>
                </c:pt>
                <c:pt idx="7">
                  <c:v>498122.95</c:v>
                </c:pt>
                <c:pt idx="8">
                  <c:v>512891.2</c:v>
                </c:pt>
                <c:pt idx="9">
                  <c:v>1266032.8699999999</c:v>
                </c:pt>
                <c:pt idx="10">
                  <c:v>1123584.6074999999</c:v>
                </c:pt>
                <c:pt idx="11">
                  <c:v>1081155.8500000001</c:v>
                </c:pt>
                <c:pt idx="12">
                  <c:v>1316673.9200000002</c:v>
                </c:pt>
                <c:pt idx="13">
                  <c:v>1062686.7666666666</c:v>
                </c:pt>
                <c:pt idx="14">
                  <c:v>581424.69999999995</c:v>
                </c:pt>
                <c:pt idx="15">
                  <c:v>789204.96388888883</c:v>
                </c:pt>
                <c:pt idx="16">
                  <c:v>367237.16713362071</c:v>
                </c:pt>
                <c:pt idx="17">
                  <c:v>755816.77142857143</c:v>
                </c:pt>
                <c:pt idx="18">
                  <c:v>718298.61250000005</c:v>
                </c:pt>
                <c:pt idx="19">
                  <c:v>341314.72222222225</c:v>
                </c:pt>
                <c:pt idx="20">
                  <c:v>403227.41772151901</c:v>
                </c:pt>
                <c:pt idx="21">
                  <c:v>1234430.585</c:v>
                </c:pt>
                <c:pt idx="22">
                  <c:v>1662926.4</c:v>
                </c:pt>
                <c:pt idx="23">
                  <c:v>1576442.95</c:v>
                </c:pt>
                <c:pt idx="24">
                  <c:v>677803.3666666667</c:v>
                </c:pt>
                <c:pt idx="25">
                  <c:v>532294.69999999995</c:v>
                </c:pt>
                <c:pt idx="26">
                  <c:v>1301227.8125</c:v>
                </c:pt>
                <c:pt idx="27" formatCode="General">
                  <c:v>498063.1</c:v>
                </c:pt>
                <c:pt idx="28">
                  <c:v>876473.32666666666</c:v>
                </c:pt>
                <c:pt idx="29">
                  <c:v>661090.30000000005</c:v>
                </c:pt>
                <c:pt idx="30">
                  <c:v>1238224.5</c:v>
                </c:pt>
                <c:pt idx="31">
                  <c:v>918047.03</c:v>
                </c:pt>
                <c:pt idx="32">
                  <c:v>490693.15</c:v>
                </c:pt>
                <c:pt idx="33">
                  <c:v>1526178.4636363639</c:v>
                </c:pt>
                <c:pt idx="34">
                  <c:v>501840.3</c:v>
                </c:pt>
                <c:pt idx="35">
                  <c:v>1824494.95</c:v>
                </c:pt>
                <c:pt idx="36">
                  <c:v>578232.41874999995</c:v>
                </c:pt>
                <c:pt idx="37">
                  <c:v>1041332.0477272727</c:v>
                </c:pt>
                <c:pt idx="38">
                  <c:v>2918381.6</c:v>
                </c:pt>
                <c:pt idx="39">
                  <c:v>490693.15</c:v>
                </c:pt>
                <c:pt idx="40">
                  <c:v>678864.55</c:v>
                </c:pt>
                <c:pt idx="41">
                  <c:v>621831.85</c:v>
                </c:pt>
                <c:pt idx="42">
                  <c:v>1350839.7222222222</c:v>
                </c:pt>
                <c:pt idx="43">
                  <c:v>521079.97500000003</c:v>
                </c:pt>
                <c:pt idx="44">
                  <c:v>135847.38092105262</c:v>
                </c:pt>
                <c:pt idx="45">
                  <c:v>832580.98281249998</c:v>
                </c:pt>
                <c:pt idx="46">
                  <c:v>454593.16944444441</c:v>
                </c:pt>
                <c:pt idx="47">
                  <c:v>717463.75</c:v>
                </c:pt>
                <c:pt idx="48">
                  <c:v>516679.77499999997</c:v>
                </c:pt>
              </c:numCache>
            </c:numRef>
          </c:val>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0-3A71-CE4F-91E1-8080EBF85DB8}"/>
            </c:ext>
          </c:extLst>
        </c:ser>
        <c:dLbls>
          <c:showLegendKey val="0"/>
          <c:showVal val="0"/>
          <c:showCatName val="0"/>
          <c:showSerName val="0"/>
          <c:showPercent val="0"/>
          <c:showBubbleSize val="0"/>
        </c:dLbls>
        <c:gapWidth val="150"/>
        <c:axId val="1507200528"/>
        <c:axId val="1507448960"/>
      </c:barChart>
      <c:lineChart>
        <c:grouping val="standard"/>
        <c:varyColors val="0"/>
        <c:ser>
          <c:idx val="1"/>
          <c:order val="1"/>
          <c:tx>
            <c:strRef>
              <c:f>'Closed Sales Data'!$N$1</c:f>
              <c:strCache>
                <c:ptCount val="1"/>
                <c:pt idx="0">
                  <c:v>Total lives</c:v>
                </c:pt>
              </c:strCache>
            </c:strRef>
          </c:tx>
          <c:spPr>
            <a:ln w="28575" cap="rnd">
              <a:solidFill>
                <a:schemeClr val="accent2"/>
              </a:solidFill>
              <a:round/>
            </a:ln>
            <a:effectLst/>
          </c:spPr>
          <c:marker>
            <c:symbol val="none"/>
          </c:marker>
          <c:val>
            <c:numRef>
              <c:f>'Closed Sales Data'!$N$2:$N$50</c:f>
              <c:numCache>
                <c:formatCode>General</c:formatCode>
                <c:ptCount val="49"/>
                <c:pt idx="0">
                  <c:v>48</c:v>
                </c:pt>
                <c:pt idx="1">
                  <c:v>48</c:v>
                </c:pt>
                <c:pt idx="2">
                  <c:v>133</c:v>
                </c:pt>
                <c:pt idx="3">
                  <c:v>7</c:v>
                </c:pt>
                <c:pt idx="4">
                  <c:v>18</c:v>
                </c:pt>
                <c:pt idx="5">
                  <c:v>4</c:v>
                </c:pt>
                <c:pt idx="6">
                  <c:v>97</c:v>
                </c:pt>
                <c:pt idx="7">
                  <c:v>1</c:v>
                </c:pt>
                <c:pt idx="8">
                  <c:v>1</c:v>
                </c:pt>
                <c:pt idx="9">
                  <c:v>16</c:v>
                </c:pt>
                <c:pt idx="10">
                  <c:v>60</c:v>
                </c:pt>
                <c:pt idx="11">
                  <c:v>8</c:v>
                </c:pt>
                <c:pt idx="12">
                  <c:v>24</c:v>
                </c:pt>
                <c:pt idx="13">
                  <c:v>22</c:v>
                </c:pt>
                <c:pt idx="14">
                  <c:v>1</c:v>
                </c:pt>
                <c:pt idx="15">
                  <c:v>37</c:v>
                </c:pt>
                <c:pt idx="16">
                  <c:v>928</c:v>
                </c:pt>
                <c:pt idx="17">
                  <c:v>45</c:v>
                </c:pt>
                <c:pt idx="18">
                  <c:v>7</c:v>
                </c:pt>
                <c:pt idx="19">
                  <c:v>17</c:v>
                </c:pt>
                <c:pt idx="20">
                  <c:v>475</c:v>
                </c:pt>
                <c:pt idx="21">
                  <c:v>68</c:v>
                </c:pt>
                <c:pt idx="22">
                  <c:v>3</c:v>
                </c:pt>
                <c:pt idx="23">
                  <c:v>4</c:v>
                </c:pt>
                <c:pt idx="24">
                  <c:v>5</c:v>
                </c:pt>
                <c:pt idx="25">
                  <c:v>7</c:v>
                </c:pt>
                <c:pt idx="26">
                  <c:v>14</c:v>
                </c:pt>
                <c:pt idx="27">
                  <c:v>1</c:v>
                </c:pt>
                <c:pt idx="28">
                  <c:v>34</c:v>
                </c:pt>
                <c:pt idx="29">
                  <c:v>1</c:v>
                </c:pt>
                <c:pt idx="30">
                  <c:v>3</c:v>
                </c:pt>
                <c:pt idx="31">
                  <c:v>13</c:v>
                </c:pt>
                <c:pt idx="32">
                  <c:v>1</c:v>
                </c:pt>
                <c:pt idx="33">
                  <c:v>30</c:v>
                </c:pt>
                <c:pt idx="34">
                  <c:v>3</c:v>
                </c:pt>
                <c:pt idx="35">
                  <c:v>4</c:v>
                </c:pt>
                <c:pt idx="36">
                  <c:v>10</c:v>
                </c:pt>
                <c:pt idx="37">
                  <c:v>59</c:v>
                </c:pt>
                <c:pt idx="38">
                  <c:v>5</c:v>
                </c:pt>
                <c:pt idx="39">
                  <c:v>1</c:v>
                </c:pt>
                <c:pt idx="40">
                  <c:v>7</c:v>
                </c:pt>
                <c:pt idx="41">
                  <c:v>1</c:v>
                </c:pt>
                <c:pt idx="42">
                  <c:v>20</c:v>
                </c:pt>
                <c:pt idx="43">
                  <c:v>6</c:v>
                </c:pt>
                <c:pt idx="44">
                  <c:v>152</c:v>
                </c:pt>
                <c:pt idx="45">
                  <c:v>67</c:v>
                </c:pt>
                <c:pt idx="46">
                  <c:v>72</c:v>
                </c:pt>
                <c:pt idx="47">
                  <c:v>1</c:v>
                </c:pt>
                <c:pt idx="48">
                  <c:v>6</c:v>
                </c:pt>
              </c:numCache>
            </c:numRef>
          </c:val>
          <c:smooth val="0"/>
          <c:extLst>
            <c:ext xmlns:c15="http://schemas.microsoft.com/office/drawing/2012/chart" uri="{02D57815-91ED-43cb-92C2-25804820EDAC}">
              <c15:filteredCategoryTitle>
                <c15:cat>
                  <c:multiLvlStrRef>
                    <c:extLst>
                      <c:ext uri="{02D57815-91ED-43cb-92C2-25804820EDAC}">
                        <c15:formulaRef>
                          <c15:sqref>SHEET1!#REF!</c15:sqref>
                        </c15:formulaRef>
                      </c:ext>
                    </c:extLst>
                  </c:multiLvlStrRef>
                </c15:cat>
              </c15:filteredCategoryTitle>
            </c:ext>
            <c:ext xmlns:c16="http://schemas.microsoft.com/office/drawing/2014/chart" uri="{C3380CC4-5D6E-409C-BE32-E72D297353CC}">
              <c16:uniqueId val="{00000001-09C3-F448-B48F-45901877B4FB}"/>
            </c:ext>
          </c:extLst>
        </c:ser>
        <c:dLbls>
          <c:showLegendKey val="0"/>
          <c:showVal val="0"/>
          <c:showCatName val="0"/>
          <c:showSerName val="0"/>
          <c:showPercent val="0"/>
          <c:showBubbleSize val="0"/>
        </c:dLbls>
        <c:marker val="1"/>
        <c:smooth val="0"/>
        <c:axId val="1439964960"/>
        <c:axId val="1439963216"/>
      </c:lineChart>
      <c:catAx>
        <c:axId val="150720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48960"/>
        <c:crosses val="autoZero"/>
        <c:auto val="1"/>
        <c:lblAlgn val="ctr"/>
        <c:lblOffset val="100"/>
        <c:noMultiLvlLbl val="0"/>
      </c:catAx>
      <c:valAx>
        <c:axId val="150744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a:t>
                </a:r>
                <a:r>
                  <a:rPr lang="en-GB" baseline="0"/>
                  <a:t> Premium in RWF</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200528"/>
        <c:crosses val="autoZero"/>
        <c:crossBetween val="between"/>
        <c:dispUnits>
          <c:builtInUnit val="thousands"/>
        </c:dispUnits>
      </c:valAx>
      <c:valAx>
        <c:axId val="14399632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Lives</a:t>
                </a:r>
                <a:r>
                  <a:rPr lang="en-GB" baseline="0"/>
                  <a:t> Covered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64960"/>
        <c:crosses val="max"/>
        <c:crossBetween val="between"/>
      </c:valAx>
      <c:catAx>
        <c:axId val="1439964960"/>
        <c:scaling>
          <c:orientation val="minMax"/>
        </c:scaling>
        <c:delete val="1"/>
        <c:axPos val="b"/>
        <c:numFmt formatCode="General" sourceLinked="1"/>
        <c:majorTickMark val="out"/>
        <c:minorTickMark val="none"/>
        <c:tickLblPos val="nextTo"/>
        <c:crossAx val="14399632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updated.xlsx]YTD_Premium_Segment!PivotTable1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Insured Premium by Client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numFmt formatCode="[$RWF]\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s>
    <c:plotArea>
      <c:layout/>
      <c:pieChart>
        <c:varyColors val="1"/>
        <c:ser>
          <c:idx val="0"/>
          <c:order val="0"/>
          <c:tx>
            <c:strRef>
              <c:f>YTD_Premium_Segment!$B$1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E15-314E-8080-3459EC680D22}"/>
              </c:ext>
            </c:extLst>
          </c:dPt>
          <c:dPt>
            <c:idx val="1"/>
            <c:bubble3D val="0"/>
            <c:spPr>
              <a:solidFill>
                <a:schemeClr val="accent2"/>
              </a:solidFill>
              <a:ln>
                <a:noFill/>
              </a:ln>
              <a:effectLst/>
            </c:spPr>
            <c:extLst>
              <c:ext xmlns:c16="http://schemas.microsoft.com/office/drawing/2014/chart" uri="{C3380CC4-5D6E-409C-BE32-E72D297353CC}">
                <c16:uniqueId val="{00000003-9E15-314E-8080-3459EC680D22}"/>
              </c:ext>
            </c:extLst>
          </c:dPt>
          <c:dPt>
            <c:idx val="2"/>
            <c:bubble3D val="0"/>
            <c:spPr>
              <a:solidFill>
                <a:schemeClr val="accent3"/>
              </a:solidFill>
              <a:ln>
                <a:noFill/>
              </a:ln>
              <a:effectLst/>
            </c:spPr>
            <c:extLst>
              <c:ext xmlns:c16="http://schemas.microsoft.com/office/drawing/2014/chart" uri="{C3380CC4-5D6E-409C-BE32-E72D297353CC}">
                <c16:uniqueId val="{00000005-9E15-314E-8080-3459EC680D22}"/>
              </c:ext>
            </c:extLst>
          </c:dPt>
          <c:dPt>
            <c:idx val="3"/>
            <c:bubble3D val="0"/>
            <c:spPr>
              <a:solidFill>
                <a:schemeClr val="accent4"/>
              </a:solidFill>
              <a:ln>
                <a:noFill/>
              </a:ln>
              <a:effectLst/>
            </c:spPr>
            <c:extLst>
              <c:ext xmlns:c16="http://schemas.microsoft.com/office/drawing/2014/chart" uri="{C3380CC4-5D6E-409C-BE32-E72D297353CC}">
                <c16:uniqueId val="{00000007-9E15-314E-8080-3459EC680D2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YTD_Premium_Segment!$A$2:$A$6</c:f>
              <c:strCache>
                <c:ptCount val="4"/>
                <c:pt idx="0">
                  <c:v>Hares</c:v>
                </c:pt>
                <c:pt idx="1">
                  <c:v>Tigers</c:v>
                </c:pt>
                <c:pt idx="2">
                  <c:v>Whales</c:v>
                </c:pt>
                <c:pt idx="3">
                  <c:v>Elephants</c:v>
                </c:pt>
              </c:strCache>
            </c:strRef>
          </c:cat>
          <c:val>
            <c:numRef>
              <c:f>YTD_Premium_Segment!$B$2:$B$6</c:f>
              <c:numCache>
                <c:formatCode>0.00%</c:formatCode>
                <c:ptCount val="4"/>
                <c:pt idx="0">
                  <c:v>0.26802885883026595</c:v>
                </c:pt>
                <c:pt idx="1">
                  <c:v>0.15056457782506685</c:v>
                </c:pt>
                <c:pt idx="2">
                  <c:v>0.38798691261892121</c:v>
                </c:pt>
                <c:pt idx="3">
                  <c:v>0.19341965072574599</c:v>
                </c:pt>
              </c:numCache>
            </c:numRef>
          </c:val>
          <c:extLst>
            <c:ext xmlns:c16="http://schemas.microsoft.com/office/drawing/2014/chart" uri="{C3380CC4-5D6E-409C-BE32-E72D297353CC}">
              <c16:uniqueId val="{00000008-9E15-314E-8080-3459EC680D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Live</a:t>
            </a:r>
            <a:r>
              <a:rPr lang="en-US" baseline="0"/>
              <a:t> Start Dates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'Closed Sales Data'!$N$1</c:f>
              <c:strCache>
                <c:ptCount val="1"/>
                <c:pt idx="0">
                  <c:v>Total lives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'Closed Sales Data'!$O$2:$O$50</c:f>
              <c:numCache>
                <c:formatCode>yyyy\-mm\-dd;@</c:formatCode>
                <c:ptCount val="49"/>
                <c:pt idx="0">
                  <c:v>44971</c:v>
                </c:pt>
                <c:pt idx="1">
                  <c:v>44987</c:v>
                </c:pt>
                <c:pt idx="2">
                  <c:v>44992</c:v>
                </c:pt>
                <c:pt idx="3">
                  <c:v>45013</c:v>
                </c:pt>
                <c:pt idx="4">
                  <c:v>45030</c:v>
                </c:pt>
                <c:pt idx="5">
                  <c:v>45047</c:v>
                </c:pt>
                <c:pt idx="6">
                  <c:v>45071</c:v>
                </c:pt>
                <c:pt idx="7">
                  <c:v>45114</c:v>
                </c:pt>
                <c:pt idx="8">
                  <c:v>45121</c:v>
                </c:pt>
                <c:pt idx="9">
                  <c:v>45092</c:v>
                </c:pt>
                <c:pt idx="10">
                  <c:v>45095</c:v>
                </c:pt>
                <c:pt idx="11">
                  <c:v>45097</c:v>
                </c:pt>
                <c:pt idx="12">
                  <c:v>45129</c:v>
                </c:pt>
                <c:pt idx="13">
                  <c:v>45145</c:v>
                </c:pt>
                <c:pt idx="14">
                  <c:v>45149</c:v>
                </c:pt>
                <c:pt idx="15">
                  <c:v>45153</c:v>
                </c:pt>
                <c:pt idx="16">
                  <c:v>45170</c:v>
                </c:pt>
                <c:pt idx="17">
                  <c:v>45170</c:v>
                </c:pt>
                <c:pt idx="18">
                  <c:v>45170</c:v>
                </c:pt>
                <c:pt idx="19">
                  <c:v>45194</c:v>
                </c:pt>
                <c:pt idx="20">
                  <c:v>45204</c:v>
                </c:pt>
                <c:pt idx="21">
                  <c:v>45206</c:v>
                </c:pt>
                <c:pt idx="22">
                  <c:v>45206</c:v>
                </c:pt>
                <c:pt idx="23">
                  <c:v>45218</c:v>
                </c:pt>
                <c:pt idx="24">
                  <c:v>45223</c:v>
                </c:pt>
                <c:pt idx="25">
                  <c:v>45224</c:v>
                </c:pt>
                <c:pt idx="26">
                  <c:v>45230</c:v>
                </c:pt>
                <c:pt idx="27">
                  <c:v>45244</c:v>
                </c:pt>
                <c:pt idx="28">
                  <c:v>45246</c:v>
                </c:pt>
                <c:pt idx="29">
                  <c:v>45254</c:v>
                </c:pt>
                <c:pt idx="30">
                  <c:v>45247</c:v>
                </c:pt>
                <c:pt idx="31">
                  <c:v>45272</c:v>
                </c:pt>
                <c:pt idx="32">
                  <c:v>45273</c:v>
                </c:pt>
                <c:pt idx="33">
                  <c:v>45287</c:v>
                </c:pt>
                <c:pt idx="34">
                  <c:v>45292</c:v>
                </c:pt>
                <c:pt idx="35">
                  <c:v>45301</c:v>
                </c:pt>
                <c:pt idx="36">
                  <c:v>45301</c:v>
                </c:pt>
                <c:pt idx="37">
                  <c:v>45301</c:v>
                </c:pt>
                <c:pt idx="38">
                  <c:v>45304</c:v>
                </c:pt>
                <c:pt idx="39">
                  <c:v>45316</c:v>
                </c:pt>
                <c:pt idx="40">
                  <c:v>45292</c:v>
                </c:pt>
                <c:pt idx="41">
                  <c:v>45327</c:v>
                </c:pt>
                <c:pt idx="42">
                  <c:v>45328</c:v>
                </c:pt>
                <c:pt idx="43">
                  <c:v>45331</c:v>
                </c:pt>
                <c:pt idx="44">
                  <c:v>45331</c:v>
                </c:pt>
                <c:pt idx="45">
                  <c:v>45336</c:v>
                </c:pt>
                <c:pt idx="46">
                  <c:v>45344</c:v>
                </c:pt>
                <c:pt idx="47">
                  <c:v>45337</c:v>
                </c:pt>
                <c:pt idx="48">
                  <c:v>45350</c:v>
                </c:pt>
              </c:numCache>
            </c:numRef>
          </c:cat>
          <c:val>
            <c:numRef>
              <c:f>'Closed Sales Data'!$N$2:$N$50</c:f>
              <c:numCache>
                <c:formatCode>General</c:formatCode>
                <c:ptCount val="49"/>
                <c:pt idx="0">
                  <c:v>48</c:v>
                </c:pt>
                <c:pt idx="1">
                  <c:v>48</c:v>
                </c:pt>
                <c:pt idx="2">
                  <c:v>133</c:v>
                </c:pt>
                <c:pt idx="3">
                  <c:v>7</c:v>
                </c:pt>
                <c:pt idx="4">
                  <c:v>18</c:v>
                </c:pt>
                <c:pt idx="5">
                  <c:v>4</c:v>
                </c:pt>
                <c:pt idx="6">
                  <c:v>97</c:v>
                </c:pt>
                <c:pt idx="7">
                  <c:v>1</c:v>
                </c:pt>
                <c:pt idx="8">
                  <c:v>1</c:v>
                </c:pt>
                <c:pt idx="9">
                  <c:v>16</c:v>
                </c:pt>
                <c:pt idx="10">
                  <c:v>60</c:v>
                </c:pt>
                <c:pt idx="11">
                  <c:v>8</c:v>
                </c:pt>
                <c:pt idx="12">
                  <c:v>24</c:v>
                </c:pt>
                <c:pt idx="13">
                  <c:v>22</c:v>
                </c:pt>
                <c:pt idx="14">
                  <c:v>1</c:v>
                </c:pt>
                <c:pt idx="15">
                  <c:v>37</c:v>
                </c:pt>
                <c:pt idx="16">
                  <c:v>928</c:v>
                </c:pt>
                <c:pt idx="17">
                  <c:v>45</c:v>
                </c:pt>
                <c:pt idx="18">
                  <c:v>7</c:v>
                </c:pt>
                <c:pt idx="19">
                  <c:v>17</c:v>
                </c:pt>
                <c:pt idx="20">
                  <c:v>475</c:v>
                </c:pt>
                <c:pt idx="21">
                  <c:v>68</c:v>
                </c:pt>
                <c:pt idx="22">
                  <c:v>3</c:v>
                </c:pt>
                <c:pt idx="23">
                  <c:v>4</c:v>
                </c:pt>
                <c:pt idx="24">
                  <c:v>5</c:v>
                </c:pt>
                <c:pt idx="25">
                  <c:v>7</c:v>
                </c:pt>
                <c:pt idx="26">
                  <c:v>14</c:v>
                </c:pt>
                <c:pt idx="27">
                  <c:v>1</c:v>
                </c:pt>
                <c:pt idx="28">
                  <c:v>34</c:v>
                </c:pt>
                <c:pt idx="29">
                  <c:v>1</c:v>
                </c:pt>
                <c:pt idx="30">
                  <c:v>3</c:v>
                </c:pt>
                <c:pt idx="31">
                  <c:v>13</c:v>
                </c:pt>
                <c:pt idx="32">
                  <c:v>1</c:v>
                </c:pt>
                <c:pt idx="33">
                  <c:v>30</c:v>
                </c:pt>
                <c:pt idx="34">
                  <c:v>3</c:v>
                </c:pt>
                <c:pt idx="35">
                  <c:v>4</c:v>
                </c:pt>
                <c:pt idx="36">
                  <c:v>10</c:v>
                </c:pt>
                <c:pt idx="37">
                  <c:v>59</c:v>
                </c:pt>
                <c:pt idx="38">
                  <c:v>5</c:v>
                </c:pt>
                <c:pt idx="39">
                  <c:v>1</c:v>
                </c:pt>
                <c:pt idx="40">
                  <c:v>7</c:v>
                </c:pt>
                <c:pt idx="41">
                  <c:v>1</c:v>
                </c:pt>
                <c:pt idx="42">
                  <c:v>20</c:v>
                </c:pt>
                <c:pt idx="43">
                  <c:v>6</c:v>
                </c:pt>
                <c:pt idx="44">
                  <c:v>152</c:v>
                </c:pt>
                <c:pt idx="45">
                  <c:v>67</c:v>
                </c:pt>
                <c:pt idx="46">
                  <c:v>72</c:v>
                </c:pt>
                <c:pt idx="47">
                  <c:v>1</c:v>
                </c:pt>
                <c:pt idx="48">
                  <c:v>6</c:v>
                </c:pt>
              </c:numCache>
            </c:numRef>
          </c:val>
          <c:smooth val="0"/>
          <c:extLst>
            <c:ext xmlns:c16="http://schemas.microsoft.com/office/drawing/2014/chart" uri="{C3380CC4-5D6E-409C-BE32-E72D297353CC}">
              <c16:uniqueId val="{00000000-F444-194A-9D88-04E5CFCE9129}"/>
            </c:ext>
          </c:extLst>
        </c:ser>
        <c:dLbls>
          <c:showLegendKey val="0"/>
          <c:showVal val="0"/>
          <c:showCatName val="0"/>
          <c:showSerName val="0"/>
          <c:showPercent val="0"/>
          <c:showBubbleSize val="0"/>
        </c:dLbls>
        <c:smooth val="0"/>
        <c:axId val="1407355680"/>
        <c:axId val="1407740576"/>
      </c:lineChart>
      <c:dateAx>
        <c:axId val="1407355680"/>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40576"/>
        <c:crosses val="autoZero"/>
        <c:auto val="1"/>
        <c:lblOffset val="100"/>
        <c:baseTimeUnit val="days"/>
      </c:dateAx>
      <c:valAx>
        <c:axId val="14077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5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w="25400">
              <a:noFill/>
            </a:ln>
            <a:effectLst/>
          </c:spPr>
          <c:invertIfNegative val="0"/>
          <c:xVal>
            <c:numRef>
              <c:f>'Closed Sales Data'!$N$2:$N$50</c:f>
              <c:numCache>
                <c:formatCode>General</c:formatCode>
                <c:ptCount val="49"/>
                <c:pt idx="0">
                  <c:v>48</c:v>
                </c:pt>
                <c:pt idx="1">
                  <c:v>48</c:v>
                </c:pt>
                <c:pt idx="2">
                  <c:v>133</c:v>
                </c:pt>
                <c:pt idx="3">
                  <c:v>7</c:v>
                </c:pt>
                <c:pt idx="4">
                  <c:v>18</c:v>
                </c:pt>
                <c:pt idx="5">
                  <c:v>4</c:v>
                </c:pt>
                <c:pt idx="6">
                  <c:v>97</c:v>
                </c:pt>
                <c:pt idx="7">
                  <c:v>1</c:v>
                </c:pt>
                <c:pt idx="8">
                  <c:v>1</c:v>
                </c:pt>
                <c:pt idx="9">
                  <c:v>16</c:v>
                </c:pt>
                <c:pt idx="10">
                  <c:v>60</c:v>
                </c:pt>
                <c:pt idx="11">
                  <c:v>8</c:v>
                </c:pt>
                <c:pt idx="12">
                  <c:v>24</c:v>
                </c:pt>
                <c:pt idx="13">
                  <c:v>22</c:v>
                </c:pt>
                <c:pt idx="14">
                  <c:v>1</c:v>
                </c:pt>
                <c:pt idx="15">
                  <c:v>37</c:v>
                </c:pt>
                <c:pt idx="16">
                  <c:v>928</c:v>
                </c:pt>
                <c:pt idx="17">
                  <c:v>45</c:v>
                </c:pt>
                <c:pt idx="18">
                  <c:v>7</c:v>
                </c:pt>
                <c:pt idx="19">
                  <c:v>17</c:v>
                </c:pt>
                <c:pt idx="20">
                  <c:v>475</c:v>
                </c:pt>
                <c:pt idx="21">
                  <c:v>68</c:v>
                </c:pt>
                <c:pt idx="22">
                  <c:v>3</c:v>
                </c:pt>
                <c:pt idx="23">
                  <c:v>4</c:v>
                </c:pt>
                <c:pt idx="24">
                  <c:v>5</c:v>
                </c:pt>
                <c:pt idx="25">
                  <c:v>7</c:v>
                </c:pt>
                <c:pt idx="26">
                  <c:v>14</c:v>
                </c:pt>
                <c:pt idx="27">
                  <c:v>1</c:v>
                </c:pt>
                <c:pt idx="28">
                  <c:v>34</c:v>
                </c:pt>
                <c:pt idx="29">
                  <c:v>1</c:v>
                </c:pt>
                <c:pt idx="30">
                  <c:v>3</c:v>
                </c:pt>
                <c:pt idx="31">
                  <c:v>13</c:v>
                </c:pt>
                <c:pt idx="32">
                  <c:v>1</c:v>
                </c:pt>
                <c:pt idx="33">
                  <c:v>30</c:v>
                </c:pt>
                <c:pt idx="34">
                  <c:v>3</c:v>
                </c:pt>
                <c:pt idx="35">
                  <c:v>4</c:v>
                </c:pt>
                <c:pt idx="36">
                  <c:v>10</c:v>
                </c:pt>
                <c:pt idx="37">
                  <c:v>59</c:v>
                </c:pt>
                <c:pt idx="38">
                  <c:v>5</c:v>
                </c:pt>
                <c:pt idx="39">
                  <c:v>1</c:v>
                </c:pt>
                <c:pt idx="40">
                  <c:v>7</c:v>
                </c:pt>
                <c:pt idx="41">
                  <c:v>1</c:v>
                </c:pt>
                <c:pt idx="42">
                  <c:v>20</c:v>
                </c:pt>
                <c:pt idx="43">
                  <c:v>6</c:v>
                </c:pt>
                <c:pt idx="44">
                  <c:v>152</c:v>
                </c:pt>
                <c:pt idx="45">
                  <c:v>67</c:v>
                </c:pt>
                <c:pt idx="46">
                  <c:v>72</c:v>
                </c:pt>
                <c:pt idx="47">
                  <c:v>1</c:v>
                </c:pt>
                <c:pt idx="48">
                  <c:v>6</c:v>
                </c:pt>
              </c:numCache>
            </c:numRef>
          </c:xVal>
          <c:yVal>
            <c:numRef>
              <c:f>'Closed Sales Data'!$K$2:$K$50</c:f>
              <c:numCache>
                <c:formatCode>_(* #,##0_);_(* \(#,##0\);_(* "-"??_);_(@_)</c:formatCode>
                <c:ptCount val="49"/>
                <c:pt idx="0">
                  <c:v>771157.81935483869</c:v>
                </c:pt>
                <c:pt idx="1">
                  <c:v>198590.78437500002</c:v>
                </c:pt>
                <c:pt idx="2">
                  <c:v>980770.61560882162</c:v>
                </c:pt>
                <c:pt idx="3">
                  <c:v>1012454.275</c:v>
                </c:pt>
                <c:pt idx="4">
                  <c:v>390939.6</c:v>
                </c:pt>
                <c:pt idx="5">
                  <c:v>609805.15</c:v>
                </c:pt>
                <c:pt idx="6">
                  <c:v>334041.25714285712</c:v>
                </c:pt>
                <c:pt idx="7">
                  <c:v>498122.95</c:v>
                </c:pt>
                <c:pt idx="8">
                  <c:v>512891.2</c:v>
                </c:pt>
                <c:pt idx="9">
                  <c:v>1266032.8699999999</c:v>
                </c:pt>
                <c:pt idx="10">
                  <c:v>1123584.6074999999</c:v>
                </c:pt>
                <c:pt idx="11">
                  <c:v>1081155.8500000001</c:v>
                </c:pt>
                <c:pt idx="12">
                  <c:v>1316673.9200000002</c:v>
                </c:pt>
                <c:pt idx="13">
                  <c:v>1062686.7666666666</c:v>
                </c:pt>
                <c:pt idx="14">
                  <c:v>581424.69999999995</c:v>
                </c:pt>
                <c:pt idx="15">
                  <c:v>789204.96388888883</c:v>
                </c:pt>
                <c:pt idx="16">
                  <c:v>367237.16713362071</c:v>
                </c:pt>
                <c:pt idx="17">
                  <c:v>755816.77142857143</c:v>
                </c:pt>
                <c:pt idx="18">
                  <c:v>718298.61250000005</c:v>
                </c:pt>
                <c:pt idx="19">
                  <c:v>341314.72222222225</c:v>
                </c:pt>
                <c:pt idx="20">
                  <c:v>403227.41772151901</c:v>
                </c:pt>
                <c:pt idx="21">
                  <c:v>1234430.585</c:v>
                </c:pt>
                <c:pt idx="22">
                  <c:v>1662926.4</c:v>
                </c:pt>
                <c:pt idx="23">
                  <c:v>1576442.95</c:v>
                </c:pt>
                <c:pt idx="24">
                  <c:v>677803.3666666667</c:v>
                </c:pt>
                <c:pt idx="25">
                  <c:v>532294.69999999995</c:v>
                </c:pt>
                <c:pt idx="26">
                  <c:v>1301227.8125</c:v>
                </c:pt>
                <c:pt idx="27" formatCode="General">
                  <c:v>498063.1</c:v>
                </c:pt>
                <c:pt idx="28">
                  <c:v>876473.32666666666</c:v>
                </c:pt>
                <c:pt idx="29">
                  <c:v>661090.30000000005</c:v>
                </c:pt>
                <c:pt idx="30">
                  <c:v>1238224.5</c:v>
                </c:pt>
                <c:pt idx="31">
                  <c:v>918047.03</c:v>
                </c:pt>
                <c:pt idx="32">
                  <c:v>490693.15</c:v>
                </c:pt>
                <c:pt idx="33">
                  <c:v>1526178.4636363639</c:v>
                </c:pt>
                <c:pt idx="34">
                  <c:v>501840.3</c:v>
                </c:pt>
                <c:pt idx="35">
                  <c:v>1824494.95</c:v>
                </c:pt>
                <c:pt idx="36">
                  <c:v>578232.41874999995</c:v>
                </c:pt>
                <c:pt idx="37">
                  <c:v>1041332.0477272727</c:v>
                </c:pt>
                <c:pt idx="38">
                  <c:v>2918381.6</c:v>
                </c:pt>
                <c:pt idx="39">
                  <c:v>490693.15</c:v>
                </c:pt>
                <c:pt idx="40">
                  <c:v>678864.55</c:v>
                </c:pt>
                <c:pt idx="41">
                  <c:v>621831.85</c:v>
                </c:pt>
                <c:pt idx="42">
                  <c:v>1350839.7222222222</c:v>
                </c:pt>
                <c:pt idx="43">
                  <c:v>521079.97500000003</c:v>
                </c:pt>
                <c:pt idx="44">
                  <c:v>135847.38092105262</c:v>
                </c:pt>
                <c:pt idx="45">
                  <c:v>832580.98281249998</c:v>
                </c:pt>
                <c:pt idx="46">
                  <c:v>454593.16944444441</c:v>
                </c:pt>
                <c:pt idx="47">
                  <c:v>717463.75</c:v>
                </c:pt>
                <c:pt idx="48">
                  <c:v>516679.77499999997</c:v>
                </c:pt>
              </c:numCache>
            </c:numRef>
          </c:yVal>
          <c:bubbleSize>
            <c:numRef>
              <c:f>'Closed Sales Data'!$J$2:$J$50</c:f>
              <c:numCache>
                <c:formatCode>_(* #,##0_);_(* \(#,##0\);_(* "-"??_);_(@_)</c:formatCode>
                <c:ptCount val="49"/>
                <c:pt idx="0">
                  <c:v>23905892.399999999</c:v>
                </c:pt>
                <c:pt idx="1">
                  <c:v>9532357.6500000004</c:v>
                </c:pt>
                <c:pt idx="2">
                  <c:v>42173136.471179329</c:v>
                </c:pt>
                <c:pt idx="3">
                  <c:v>4049817.1</c:v>
                </c:pt>
                <c:pt idx="4">
                  <c:v>6255033.5999999996</c:v>
                </c:pt>
                <c:pt idx="5">
                  <c:v>2439220.6</c:v>
                </c:pt>
                <c:pt idx="6">
                  <c:v>11691444</c:v>
                </c:pt>
                <c:pt idx="7">
                  <c:v>498122.95</c:v>
                </c:pt>
                <c:pt idx="8">
                  <c:v>512891.2</c:v>
                </c:pt>
                <c:pt idx="9">
                  <c:v>6330164.3499999996</c:v>
                </c:pt>
                <c:pt idx="10">
                  <c:v>22471692.149999999</c:v>
                </c:pt>
                <c:pt idx="11">
                  <c:v>2162311.7000000002</c:v>
                </c:pt>
                <c:pt idx="12">
                  <c:v>19750108.800000001</c:v>
                </c:pt>
                <c:pt idx="13">
                  <c:v>6376120.5999999996</c:v>
                </c:pt>
                <c:pt idx="14">
                  <c:v>581424.69999999995</c:v>
                </c:pt>
                <c:pt idx="15">
                  <c:v>14205689.35</c:v>
                </c:pt>
                <c:pt idx="16">
                  <c:v>340796091.10000002</c:v>
                </c:pt>
                <c:pt idx="17">
                  <c:v>15872152.199999999</c:v>
                </c:pt>
                <c:pt idx="18">
                  <c:v>2873194.45</c:v>
                </c:pt>
                <c:pt idx="19">
                  <c:v>3071832.5</c:v>
                </c:pt>
                <c:pt idx="20">
                  <c:v>159274830</c:v>
                </c:pt>
                <c:pt idx="21">
                  <c:v>24688611.699999999</c:v>
                </c:pt>
                <c:pt idx="22">
                  <c:v>1662926.4</c:v>
                </c:pt>
                <c:pt idx="23">
                  <c:v>1576442.95</c:v>
                </c:pt>
                <c:pt idx="24">
                  <c:v>2033410.1</c:v>
                </c:pt>
                <c:pt idx="25">
                  <c:v>2661473.5</c:v>
                </c:pt>
                <c:pt idx="26">
                  <c:v>5204911.25</c:v>
                </c:pt>
                <c:pt idx="27">
                  <c:v>498063.1</c:v>
                </c:pt>
                <c:pt idx="28">
                  <c:v>13147099.9</c:v>
                </c:pt>
                <c:pt idx="29">
                  <c:v>661090.30000000005</c:v>
                </c:pt>
                <c:pt idx="30">
                  <c:v>1238224.5</c:v>
                </c:pt>
                <c:pt idx="31">
                  <c:v>4590235.1500000004</c:v>
                </c:pt>
                <c:pt idx="32">
                  <c:v>490693.15</c:v>
                </c:pt>
                <c:pt idx="33">
                  <c:v>16787963.100000001</c:v>
                </c:pt>
                <c:pt idx="34">
                  <c:v>1505520.9</c:v>
                </c:pt>
                <c:pt idx="35">
                  <c:v>1824494.95</c:v>
                </c:pt>
                <c:pt idx="36">
                  <c:v>4625859.3499999996</c:v>
                </c:pt>
                <c:pt idx="37">
                  <c:v>22909305.050000001</c:v>
                </c:pt>
                <c:pt idx="38">
                  <c:v>2918381.6</c:v>
                </c:pt>
                <c:pt idx="39">
                  <c:v>490693.15</c:v>
                </c:pt>
                <c:pt idx="40">
                  <c:v>2715458.2</c:v>
                </c:pt>
                <c:pt idx="41">
                  <c:v>621831.85</c:v>
                </c:pt>
                <c:pt idx="42">
                  <c:v>12157557.5</c:v>
                </c:pt>
                <c:pt idx="43">
                  <c:v>3126479.85</c:v>
                </c:pt>
                <c:pt idx="44">
                  <c:v>20648801.899999999</c:v>
                </c:pt>
                <c:pt idx="45">
                  <c:v>26642591.449999999</c:v>
                </c:pt>
                <c:pt idx="46">
                  <c:v>24548031.149999999</c:v>
                </c:pt>
                <c:pt idx="47">
                  <c:v>717463.75</c:v>
                </c:pt>
                <c:pt idx="48">
                  <c:v>3100078.65</c:v>
                </c:pt>
              </c:numCache>
            </c:numRef>
          </c:bubbleSize>
          <c:bubble3D val="0"/>
          <c:extLst>
            <c:ext xmlns:c16="http://schemas.microsoft.com/office/drawing/2014/chart" uri="{C3380CC4-5D6E-409C-BE32-E72D297353CC}">
              <c16:uniqueId val="{00000000-0904-9C4A-AA3A-8DEBE6D91A69}"/>
            </c:ext>
          </c:extLst>
        </c:ser>
        <c:ser>
          <c:idx val="1"/>
          <c:order val="1"/>
          <c:spPr>
            <a:solidFill>
              <a:schemeClr val="accent2">
                <a:alpha val="75000"/>
              </a:schemeClr>
            </a:solidFill>
            <a:ln w="25400">
              <a:noFill/>
            </a:ln>
            <a:effectLst/>
          </c:spPr>
          <c:invertIfNegative val="0"/>
          <c:yVal>
            <c:numRef>
              <c:f>SHEET1!#REF!</c:f>
              <c:numCache>
                <c:formatCode>General</c:formatCode>
                <c:ptCount val="1"/>
                <c:pt idx="0">
                  <c:v>1</c:v>
                </c:pt>
              </c:numCache>
            </c:numRef>
          </c:yVal>
          <c:bubbleSize>
            <c:numRef>
              <c:f>SHEET1!#REF!</c:f>
              <c:numCache>
                <c:formatCode>General</c:formatCode>
                <c:ptCount val="1"/>
                <c:pt idx="0">
                  <c:v>1</c:v>
                </c:pt>
              </c:numCache>
            </c:numRef>
          </c:bubbleSize>
          <c:bubble3D val="0"/>
          <c:extLst>
            <c:ext xmlns:c16="http://schemas.microsoft.com/office/drawing/2014/chart" uri="{C3380CC4-5D6E-409C-BE32-E72D297353CC}">
              <c16:uniqueId val="{00000001-0904-9C4A-AA3A-8DEBE6D91A69}"/>
            </c:ext>
          </c:extLst>
        </c:ser>
        <c:ser>
          <c:idx val="2"/>
          <c:order val="2"/>
          <c:spPr>
            <a:solidFill>
              <a:schemeClr val="accent3">
                <a:alpha val="75000"/>
              </a:schemeClr>
            </a:solidFill>
            <a:ln w="25400">
              <a:noFill/>
            </a:ln>
            <a:effectLst/>
          </c:spPr>
          <c:invertIfNegative val="0"/>
          <c:yVal>
            <c:numRef>
              <c:f>SHEET1!#REF!</c:f>
              <c:numCache>
                <c:formatCode>General</c:formatCode>
                <c:ptCount val="1"/>
                <c:pt idx="0">
                  <c:v>1</c:v>
                </c:pt>
              </c:numCache>
            </c:numRef>
          </c:yVal>
          <c:bubbleSize>
            <c:numRef>
              <c:f>SHEET1!#REF!</c:f>
              <c:numCache>
                <c:formatCode>General</c:formatCode>
                <c:ptCount val="1"/>
                <c:pt idx="0">
                  <c:v>1</c:v>
                </c:pt>
              </c:numCache>
            </c:numRef>
          </c:bubbleSize>
          <c:bubble3D val="0"/>
          <c:extLst>
            <c:ext xmlns:c16="http://schemas.microsoft.com/office/drawing/2014/chart" uri="{C3380CC4-5D6E-409C-BE32-E72D297353CC}">
              <c16:uniqueId val="{00000002-0904-9C4A-AA3A-8DEBE6D91A69}"/>
            </c:ext>
          </c:extLst>
        </c:ser>
        <c:ser>
          <c:idx val="3"/>
          <c:order val="3"/>
          <c:spPr>
            <a:solidFill>
              <a:schemeClr val="accent4">
                <a:alpha val="75000"/>
              </a:schemeClr>
            </a:solidFill>
            <a:ln w="25400">
              <a:noFill/>
            </a:ln>
            <a:effectLst/>
          </c:spPr>
          <c:invertIfNegative val="0"/>
          <c:yVal>
            <c:numRef>
              <c:f>SHEET1!#REF!</c:f>
              <c:numCache>
                <c:formatCode>General</c:formatCode>
                <c:ptCount val="1"/>
                <c:pt idx="0">
                  <c:v>1</c:v>
                </c:pt>
              </c:numCache>
            </c:numRef>
          </c:yVal>
          <c:bubbleSize>
            <c:numLit>
              <c:formatCode>General</c:formatCode>
              <c:ptCount val="1"/>
              <c:pt idx="0">
                <c:v>1</c:v>
              </c:pt>
            </c:numLit>
          </c:bubbleSize>
          <c:bubble3D val="0"/>
          <c:extLst>
            <c:ext xmlns:c16="http://schemas.microsoft.com/office/drawing/2014/chart" uri="{C3380CC4-5D6E-409C-BE32-E72D297353CC}">
              <c16:uniqueId val="{00000003-0904-9C4A-AA3A-8DEBE6D91A69}"/>
            </c:ext>
          </c:extLst>
        </c:ser>
        <c:dLbls>
          <c:showLegendKey val="0"/>
          <c:showVal val="0"/>
          <c:showCatName val="0"/>
          <c:showSerName val="0"/>
          <c:showPercent val="0"/>
          <c:showBubbleSize val="0"/>
        </c:dLbls>
        <c:bubbleScale val="100"/>
        <c:showNegBubbles val="0"/>
        <c:axId val="1264281808"/>
        <c:axId val="1264283536"/>
      </c:bubbleChart>
      <c:valAx>
        <c:axId val="126428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Lives per Client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283536"/>
        <c:crosses val="autoZero"/>
        <c:crossBetween val="midCat"/>
      </c:valAx>
      <c:valAx>
        <c:axId val="126428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Premium</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281808"/>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updated.xlsx]Closed_YTD_Lives!PivotTable1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YTD Total</a:t>
            </a:r>
            <a:r>
              <a:rPr lang="en-GB" baseline="0"/>
              <a:t> Lives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Closed_YTD_Lives!$A$1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Closed_YTD_Lives!$A$2</c:f>
              <c:strCache>
                <c:ptCount val="1"/>
                <c:pt idx="0">
                  <c:v>Total</c:v>
                </c:pt>
              </c:strCache>
            </c:strRef>
          </c:cat>
          <c:val>
            <c:numRef>
              <c:f>Closed_YTD_Lives!$A$2</c:f>
              <c:numCache>
                <c:formatCode>General</c:formatCode>
                <c:ptCount val="1"/>
                <c:pt idx="0">
                  <c:v>2181</c:v>
                </c:pt>
              </c:numCache>
            </c:numRef>
          </c:val>
          <c:extLst>
            <c:ext xmlns:c16="http://schemas.microsoft.com/office/drawing/2014/chart" uri="{C3380CC4-5D6E-409C-BE32-E72D297353CC}">
              <c16:uniqueId val="{00000000-3122-4044-AFBD-1583D3AE5D75}"/>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1"/>
        <c:axPos val="b"/>
        <c:numFmt formatCode="General" sourceLinked="1"/>
        <c:majorTickMark val="none"/>
        <c:minorTickMark val="none"/>
        <c:tickLblPos val="nextTo"/>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updated.xlsx]YTD_Lives_Channel!PivotTable1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Lives Covered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s>
    <c:plotArea>
      <c:layout/>
      <c:pieChart>
        <c:varyColors val="1"/>
        <c:ser>
          <c:idx val="0"/>
          <c:order val="0"/>
          <c:tx>
            <c:strRef>
              <c:f>YTD_Lives_Channel!$B$1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433-C846-BBCF-27A9DEB8F24A}"/>
              </c:ext>
            </c:extLst>
          </c:dPt>
          <c:dPt>
            <c:idx val="1"/>
            <c:bubble3D val="0"/>
            <c:spPr>
              <a:solidFill>
                <a:schemeClr val="accent2"/>
              </a:solidFill>
              <a:ln>
                <a:noFill/>
              </a:ln>
              <a:effectLst/>
            </c:spPr>
            <c:extLst>
              <c:ext xmlns:c16="http://schemas.microsoft.com/office/drawing/2014/chart" uri="{C3380CC4-5D6E-409C-BE32-E72D297353CC}">
                <c16:uniqueId val="{00000003-A433-C846-BBCF-27A9DEB8F24A}"/>
              </c:ext>
            </c:extLst>
          </c:dPt>
          <c:dPt>
            <c:idx val="2"/>
            <c:bubble3D val="0"/>
            <c:spPr>
              <a:solidFill>
                <a:schemeClr val="accent3"/>
              </a:solidFill>
              <a:ln>
                <a:noFill/>
              </a:ln>
              <a:effectLst/>
            </c:spPr>
            <c:extLst>
              <c:ext xmlns:c16="http://schemas.microsoft.com/office/drawing/2014/chart" uri="{C3380CC4-5D6E-409C-BE32-E72D297353CC}">
                <c16:uniqueId val="{00000005-A433-C846-BBCF-27A9DEB8F24A}"/>
              </c:ext>
            </c:extLst>
          </c:dPt>
          <c:dPt>
            <c:idx val="3"/>
            <c:bubble3D val="0"/>
            <c:spPr>
              <a:solidFill>
                <a:schemeClr val="accent4"/>
              </a:solidFill>
              <a:ln>
                <a:noFill/>
              </a:ln>
              <a:effectLst/>
            </c:spPr>
            <c:extLst>
              <c:ext xmlns:c16="http://schemas.microsoft.com/office/drawing/2014/chart" uri="{C3380CC4-5D6E-409C-BE32-E72D297353CC}">
                <c16:uniqueId val="{00000007-7860-E84A-82A0-94D0E30B43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YTD_Lives_Channel!$A$2:$A$5</c:f>
              <c:strCache>
                <c:ptCount val="3"/>
                <c:pt idx="0">
                  <c:v>Agent</c:v>
                </c:pt>
                <c:pt idx="1">
                  <c:v>Broker</c:v>
                </c:pt>
                <c:pt idx="2">
                  <c:v>Direct</c:v>
                </c:pt>
              </c:strCache>
            </c:strRef>
          </c:cat>
          <c:val>
            <c:numRef>
              <c:f>YTD_Lives_Channel!$B$2:$B$5</c:f>
              <c:numCache>
                <c:formatCode>General</c:formatCode>
                <c:ptCount val="3"/>
                <c:pt idx="0">
                  <c:v>238</c:v>
                </c:pt>
                <c:pt idx="1">
                  <c:v>235</c:v>
                </c:pt>
                <c:pt idx="2">
                  <c:v>1708</c:v>
                </c:pt>
              </c:numCache>
            </c:numRef>
          </c:val>
          <c:extLst>
            <c:ext xmlns:c16="http://schemas.microsoft.com/office/drawing/2014/chart" uri="{C3380CC4-5D6E-409C-BE32-E72D297353CC}">
              <c16:uniqueId val="{00000006-A433-C846-BBCF-27A9DEB8F2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updated.xlsx]YTD_Lives_Segment!PivotTable1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Total Lives Covered by Client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s>
    <c:plotArea>
      <c:layout/>
      <c:pieChart>
        <c:varyColors val="1"/>
        <c:ser>
          <c:idx val="0"/>
          <c:order val="0"/>
          <c:tx>
            <c:strRef>
              <c:f>YTD_Lives_Segment!$E$1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2DB-8949-AE4D-4E5D4B3B8F3F}"/>
              </c:ext>
            </c:extLst>
          </c:dPt>
          <c:dPt>
            <c:idx val="1"/>
            <c:bubble3D val="0"/>
            <c:spPr>
              <a:solidFill>
                <a:schemeClr val="accent2"/>
              </a:solidFill>
              <a:ln>
                <a:noFill/>
              </a:ln>
              <a:effectLst/>
            </c:spPr>
            <c:extLst>
              <c:ext xmlns:c16="http://schemas.microsoft.com/office/drawing/2014/chart" uri="{C3380CC4-5D6E-409C-BE32-E72D297353CC}">
                <c16:uniqueId val="{00000003-B2DB-8949-AE4D-4E5D4B3B8F3F}"/>
              </c:ext>
            </c:extLst>
          </c:dPt>
          <c:dPt>
            <c:idx val="2"/>
            <c:bubble3D val="0"/>
            <c:spPr>
              <a:solidFill>
                <a:schemeClr val="accent3"/>
              </a:solidFill>
              <a:ln>
                <a:noFill/>
              </a:ln>
              <a:effectLst/>
            </c:spPr>
            <c:extLst>
              <c:ext xmlns:c16="http://schemas.microsoft.com/office/drawing/2014/chart" uri="{C3380CC4-5D6E-409C-BE32-E72D297353CC}">
                <c16:uniqueId val="{00000005-B2DB-8949-AE4D-4E5D4B3B8F3F}"/>
              </c:ext>
            </c:extLst>
          </c:dPt>
          <c:dPt>
            <c:idx val="3"/>
            <c:bubble3D val="0"/>
            <c:spPr>
              <a:solidFill>
                <a:schemeClr val="accent4"/>
              </a:solidFill>
              <a:ln>
                <a:noFill/>
              </a:ln>
              <a:effectLst/>
            </c:spPr>
            <c:extLst>
              <c:ext xmlns:c16="http://schemas.microsoft.com/office/drawing/2014/chart" uri="{C3380CC4-5D6E-409C-BE32-E72D297353CC}">
                <c16:uniqueId val="{00000007-B2DB-8949-AE4D-4E5D4B3B8F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YTD_Lives_Segment!$D$2:$D$6</c:f>
              <c:strCache>
                <c:ptCount val="4"/>
                <c:pt idx="0">
                  <c:v>Hares</c:v>
                </c:pt>
                <c:pt idx="1">
                  <c:v>Tigers</c:v>
                </c:pt>
                <c:pt idx="2">
                  <c:v>Whales</c:v>
                </c:pt>
                <c:pt idx="3">
                  <c:v>Elephants</c:v>
                </c:pt>
              </c:strCache>
            </c:strRef>
          </c:cat>
          <c:val>
            <c:numRef>
              <c:f>YTD_Lives_Segment!$E$2:$E$6</c:f>
              <c:numCache>
                <c:formatCode>0.00%</c:formatCode>
                <c:ptCount val="4"/>
                <c:pt idx="0">
                  <c:v>0.20724438331040806</c:v>
                </c:pt>
                <c:pt idx="1">
                  <c:v>0.14947271893626776</c:v>
                </c:pt>
                <c:pt idx="2">
                  <c:v>0.42549289316827144</c:v>
                </c:pt>
                <c:pt idx="3">
                  <c:v>0.21779000458505274</c:v>
                </c:pt>
              </c:numCache>
            </c:numRef>
          </c:val>
          <c:extLst>
            <c:ext xmlns:c16="http://schemas.microsoft.com/office/drawing/2014/chart" uri="{C3380CC4-5D6E-409C-BE32-E72D297353CC}">
              <c16:uniqueId val="{00000008-B2DB-8949-AE4D-4E5D4B3B8F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updated.xlsx]Monthly_Overview_Premium!PivotTable1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Monthly_Overview_Premium!$B$1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Monthly_Overview_Premium!$A$2:$A$14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Monthly_Overview_Premium!$B$2:$B$14</c:f>
              <c:numCache>
                <c:formatCode>[$RWF]\ #,##0</c:formatCode>
                <c:ptCount val="12"/>
                <c:pt idx="0">
                  <c:v>34342584</c:v>
                </c:pt>
                <c:pt idx="1">
                  <c:v>97999170</c:v>
                </c:pt>
                <c:pt idx="2">
                  <c:v>52576486.877313644</c:v>
                </c:pt>
                <c:pt idx="3">
                  <c:v>2085252</c:v>
                </c:pt>
                <c:pt idx="4">
                  <c:v>7012981</c:v>
                </c:pt>
                <c:pt idx="5">
                  <c:v>28689684</c:v>
                </c:pt>
                <c:pt idx="6">
                  <c:v>19524879</c:v>
                </c:pt>
                <c:pt idx="7">
                  <c:v>19584033</c:v>
                </c:pt>
                <c:pt idx="8">
                  <c:v>342479305</c:v>
                </c:pt>
                <c:pt idx="9">
                  <c:v>185712958</c:v>
                </c:pt>
                <c:pt idx="10">
                  <c:v>14432836</c:v>
                </c:pt>
                <c:pt idx="11">
                  <c:v>20408468</c:v>
                </c:pt>
              </c:numCache>
            </c:numRef>
          </c:val>
          <c:extLst>
            <c:ext xmlns:c16="http://schemas.microsoft.com/office/drawing/2014/chart" uri="{C3380CC4-5D6E-409C-BE32-E72D297353CC}">
              <c16:uniqueId val="{00000000-37C0-8A4B-B80D-C8523BE8D9B0}"/>
            </c:ext>
          </c:extLst>
        </c:ser>
        <c:dLbls>
          <c:showLegendKey val="0"/>
          <c:showVal val="0"/>
          <c:showCatName val="0"/>
          <c:showSerName val="0"/>
          <c:showPercent val="0"/>
          <c:showBubbleSize val="0"/>
        </c:dLbls>
        <c:gapWidth val="150"/>
        <c:axId val="1678245440"/>
        <c:axId val="1882772864"/>
      </c:barChart>
      <c:catAx>
        <c:axId val="16782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772864"/>
        <c:crosses val="autoZero"/>
        <c:auto val="1"/>
        <c:lblAlgn val="ctr"/>
        <c:lblOffset val="100"/>
        <c:noMultiLvlLbl val="0"/>
      </c:catAx>
      <c:valAx>
        <c:axId val="1882772864"/>
        <c:scaling>
          <c:orientation val="minMax"/>
        </c:scaling>
        <c:delete val="0"/>
        <c:axPos val="l"/>
        <c:majorGridlines>
          <c:spPr>
            <a:ln w="9525" cap="flat" cmpd="sng" algn="ctr">
              <a:solidFill>
                <a:schemeClr val="tx1">
                  <a:lumMod val="15000"/>
                  <a:lumOff val="85000"/>
                </a:schemeClr>
              </a:solidFill>
              <a:round/>
            </a:ln>
            <a:effectLst/>
          </c:spPr>
        </c:majorGridlines>
        <c:numFmt formatCode="[$RWF]\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454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updated.xlsx]Monthly_Overview_Lives!PivotTable1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Monthly_Overview_Lives!$B$1</c:f>
              <c:strCache>
                <c:ptCount val="1"/>
                <c:pt idx="0">
                  <c:v>Total No. of Principal 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Monthly_Overview_Lives!$A$2:$A$14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Monthly_Overview_Lives!$B$2:$B$14</c:f>
              <c:numCache>
                <c:formatCode>General</c:formatCode>
                <c:ptCount val="12"/>
                <c:pt idx="0">
                  <c:v>40</c:v>
                </c:pt>
                <c:pt idx="1">
                  <c:v>292</c:v>
                </c:pt>
                <c:pt idx="2">
                  <c:v>95</c:v>
                </c:pt>
                <c:pt idx="3">
                  <c:v>16</c:v>
                </c:pt>
                <c:pt idx="4">
                  <c:v>39</c:v>
                </c:pt>
                <c:pt idx="5">
                  <c:v>27</c:v>
                </c:pt>
                <c:pt idx="6">
                  <c:v>17</c:v>
                </c:pt>
                <c:pt idx="7">
                  <c:v>25</c:v>
                </c:pt>
                <c:pt idx="8">
                  <c:v>962</c:v>
                </c:pt>
                <c:pt idx="9">
                  <c:v>429</c:v>
                </c:pt>
                <c:pt idx="10">
                  <c:v>18</c:v>
                </c:pt>
                <c:pt idx="11">
                  <c:v>17</c:v>
                </c:pt>
              </c:numCache>
            </c:numRef>
          </c:val>
          <c:extLst>
            <c:ext xmlns:c16="http://schemas.microsoft.com/office/drawing/2014/chart" uri="{C3380CC4-5D6E-409C-BE32-E72D297353CC}">
              <c16:uniqueId val="{00000000-782B-7047-9384-D87051A5F1E0}"/>
            </c:ext>
          </c:extLst>
        </c:ser>
        <c:ser>
          <c:idx val="1"/>
          <c:order val="1"/>
          <c:tx>
            <c:strRef>
              <c:f>Monthly_Overview_Lives!$C$1</c:f>
              <c:strCache>
                <c:ptCount val="1"/>
                <c:pt idx="0">
                  <c:v>Total No. of Dependents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Monthly_Overview_Lives!$A$2:$A$14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Monthly_Overview_Lives!$C$2:$C$14</c:f>
              <c:numCache>
                <c:formatCode>General</c:formatCode>
                <c:ptCount val="12"/>
                <c:pt idx="0">
                  <c:v>49</c:v>
                </c:pt>
                <c:pt idx="1">
                  <c:v>81</c:v>
                </c:pt>
                <c:pt idx="2">
                  <c:v>93</c:v>
                </c:pt>
                <c:pt idx="3">
                  <c:v>2</c:v>
                </c:pt>
                <c:pt idx="4">
                  <c:v>62</c:v>
                </c:pt>
                <c:pt idx="5">
                  <c:v>57</c:v>
                </c:pt>
                <c:pt idx="6">
                  <c:v>9</c:v>
                </c:pt>
                <c:pt idx="7">
                  <c:v>35</c:v>
                </c:pt>
                <c:pt idx="8">
                  <c:v>35</c:v>
                </c:pt>
                <c:pt idx="9">
                  <c:v>462</c:v>
                </c:pt>
                <c:pt idx="10">
                  <c:v>21</c:v>
                </c:pt>
                <c:pt idx="11">
                  <c:v>27</c:v>
                </c:pt>
              </c:numCache>
            </c:numRef>
          </c:val>
          <c:extLst>
            <c:ext xmlns:c16="http://schemas.microsoft.com/office/drawing/2014/chart" uri="{C3380CC4-5D6E-409C-BE32-E72D297353CC}">
              <c16:uniqueId val="{00000001-782B-7047-9384-D87051A5F1E0}"/>
            </c:ext>
          </c:extLst>
        </c:ser>
        <c:dLbls>
          <c:showLegendKey val="0"/>
          <c:showVal val="0"/>
          <c:showCatName val="0"/>
          <c:showSerName val="0"/>
          <c:showPercent val="0"/>
          <c:showBubbleSize val="0"/>
        </c:dLbls>
        <c:gapWidth val="219"/>
        <c:overlap val="100"/>
        <c:axId val="1461847040"/>
        <c:axId val="1461855600"/>
      </c:barChart>
      <c:catAx>
        <c:axId val="14618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5600"/>
        <c:crosses val="autoZero"/>
        <c:auto val="1"/>
        <c:lblAlgn val="ctr"/>
        <c:lblOffset val="100"/>
        <c:noMultiLvlLbl val="0"/>
      </c:catAx>
      <c:valAx>
        <c:axId val="14618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[09092024_ONBOARDED CLIENTS INFORMATION updated.xlsx]Monthly_Prem_Channel!PivotTable1</c:name>
    <c:fmtId val="2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Monthly_Prem_Channel!$B$1:$B$2</c:f>
              <c:strCache>
                <c:ptCount val="1"/>
                <c:pt idx="0">
                  <c:v>Agent</c:v>
                </c:pt>
              </c:strCache>
            </c:strRef>
          </c:tx>
          <c:spPr>
            <a:solidFill>
              <a:schemeClr val="accent1"/>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Monthly_Prem_Channel!$B$3:$B$15</c:f>
              <c:numCache>
                <c:formatCode>[$RWF]\ #,##0.00</c:formatCode>
                <c:ptCount val="12"/>
                <c:pt idx="4">
                  <c:v>7888630.0500000007</c:v>
                </c:pt>
                <c:pt idx="6">
                  <c:v>19750108.800000001</c:v>
                </c:pt>
                <c:pt idx="8">
                  <c:v>15872152.199999999</c:v>
                </c:pt>
                <c:pt idx="9">
                  <c:v>24688611.699999999</c:v>
                </c:pt>
              </c:numCache>
            </c:numRef>
          </c:val>
          <c:extLst>
            <c:ext xmlns:c16="http://schemas.microsoft.com/office/drawing/2014/chart" uri="{C3380CC4-5D6E-409C-BE32-E72D297353CC}">
              <c16:uniqueId val="{00000000-CDA4-E344-B8C5-11B10E1B1918}"/>
            </c:ext>
          </c:extLst>
        </c:ser>
        <c:ser>
          <c:idx val="1"/>
          <c:order val="1"/>
          <c:tx>
            <c:strRef>
              <c:f>Monthly_Prem_Channel!$C$1:$C$2</c:f>
              <c:strCache>
                <c:ptCount val="1"/>
                <c:pt idx="0">
                  <c:v>Broker</c:v>
                </c:pt>
              </c:strCache>
            </c:strRef>
          </c:tx>
          <c:spPr>
            <a:solidFill>
              <a:schemeClr val="accent2"/>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Monthly_Prem_Channel!$C$3:$C$15</c:f>
              <c:numCache>
                <c:formatCode>[$RWF]\ #,##0.00</c:formatCode>
                <c:ptCount val="12"/>
                <c:pt idx="2">
                  <c:v>9532357.6500000004</c:v>
                </c:pt>
                <c:pt idx="5">
                  <c:v>30964168.199999999</c:v>
                </c:pt>
                <c:pt idx="7">
                  <c:v>20581809.949999999</c:v>
                </c:pt>
                <c:pt idx="9">
                  <c:v>5204911.25</c:v>
                </c:pt>
                <c:pt idx="11">
                  <c:v>16787963.100000001</c:v>
                </c:pt>
              </c:numCache>
            </c:numRef>
          </c:val>
          <c:extLst>
            <c:ext xmlns:c16="http://schemas.microsoft.com/office/drawing/2014/chart" uri="{C3380CC4-5D6E-409C-BE32-E72D297353CC}">
              <c16:uniqueId val="{00000003-9A6D-8A4B-A071-CD5F79240636}"/>
            </c:ext>
          </c:extLst>
        </c:ser>
        <c:ser>
          <c:idx val="2"/>
          <c:order val="2"/>
          <c:tx>
            <c:strRef>
              <c:f>Monthly_Prem_Channel!$D$1:$D$2</c:f>
              <c:strCache>
                <c:ptCount val="1"/>
                <c:pt idx="0">
                  <c:v>Direct</c:v>
                </c:pt>
              </c:strCache>
            </c:strRef>
          </c:tx>
          <c:spPr>
            <a:solidFill>
              <a:schemeClr val="accent3"/>
            </a:solidFill>
            <a:ln>
              <a:noFill/>
            </a:ln>
            <a:effectLst/>
          </c:spPr>
          <c:invertIfNegative val="0"/>
          <c:cat>
            <c:strRef>
              <c:f>Monthly_Prem_Channel!$A$3:$A$15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Monthly_Prem_Channel!$D$3:$D$15</c:f>
              <c:numCache>
                <c:formatCode>[$RWF]\ #,##0.00</c:formatCode>
                <c:ptCount val="12"/>
                <c:pt idx="0">
                  <c:v>36989713.200000003</c:v>
                </c:pt>
                <c:pt idx="1">
                  <c:v>105439128.5</c:v>
                </c:pt>
                <c:pt idx="2">
                  <c:v>46222953.57117933</c:v>
                </c:pt>
                <c:pt idx="3">
                  <c:v>2279514.6</c:v>
                </c:pt>
                <c:pt idx="6">
                  <c:v>1011014.15</c:v>
                </c:pt>
                <c:pt idx="7">
                  <c:v>581424.69999999995</c:v>
                </c:pt>
                <c:pt idx="8">
                  <c:v>346741118.05000001</c:v>
                </c:pt>
                <c:pt idx="9">
                  <c:v>167209082.94999999</c:v>
                </c:pt>
                <c:pt idx="10">
                  <c:v>15544477.800000001</c:v>
                </c:pt>
                <c:pt idx="11">
                  <c:v>5080928.3000000007</c:v>
                </c:pt>
              </c:numCache>
            </c:numRef>
          </c:val>
          <c:extLst>
            <c:ext xmlns:c16="http://schemas.microsoft.com/office/drawing/2014/chart" uri="{C3380CC4-5D6E-409C-BE32-E72D297353CC}">
              <c16:uniqueId val="{00000004-9A6D-8A4B-A071-CD5F79240636}"/>
            </c:ext>
          </c:extLst>
        </c:ser>
        <c:dLbls>
          <c:showLegendKey val="0"/>
          <c:showVal val="0"/>
          <c:showCatName val="0"/>
          <c:showSerName val="0"/>
          <c:showPercent val="0"/>
          <c:showBubbleSize val="0"/>
        </c:dLbls>
        <c:gapWidth val="150"/>
        <c:overlap val="100"/>
        <c:axId val="1999096528"/>
        <c:axId val="1999335568"/>
      </c:barChart>
      <c:catAx>
        <c:axId val="1999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5568"/>
        <c:crosses val="autoZero"/>
        <c:auto val="1"/>
        <c:lblAlgn val="ctr"/>
        <c:lblOffset val="100"/>
        <c:noMultiLvlLbl val="0"/>
      </c:catAx>
      <c:valAx>
        <c:axId val="1999335568"/>
        <c:scaling>
          <c:orientation val="minMax"/>
        </c:scaling>
        <c:delete val="0"/>
        <c:axPos val="l"/>
        <c:majorGridlines>
          <c:spPr>
            <a:ln w="9525" cap="flat" cmpd="sng" algn="ctr">
              <a:solidFill>
                <a:schemeClr val="tx1">
                  <a:lumMod val="15000"/>
                  <a:lumOff val="85000"/>
                </a:schemeClr>
              </a:solidFill>
              <a:round/>
            </a:ln>
            <a:effectLst/>
          </c:spPr>
        </c:majorGridlines>
        <c:numFmt formatCode="[$RWF]\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96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1.xml"/><Relationship Id="rId4"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8</xdr:col>
      <xdr:colOff>443795</xdr:colOff>
      <xdr:row>2</xdr:row>
      <xdr:rowOff>194733</xdr:rowOff>
    </xdr:from>
    <xdr:to>
      <xdr:col>16</xdr:col>
      <xdr:colOff>416984</xdr:colOff>
      <xdr:row>24</xdr:row>
      <xdr:rowOff>182033</xdr:rowOff>
    </xdr:to>
    <xdr:graphicFrame macro="">
      <xdr:nvGraphicFramePr>
        <xdr:cNvPr id="2" name="Chart 1">
          <a:extLst>
            <a:ext uri="{FF2B5EF4-FFF2-40B4-BE49-F238E27FC236}">
              <a16:creationId xmlns:a16="http://schemas.microsoft.com/office/drawing/2014/main" id="{448EA6AF-C0B0-3A48-8424-DC5468FE9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26</xdr:row>
      <xdr:rowOff>0</xdr:rowOff>
    </xdr:from>
    <xdr:to>
      <xdr:col>12</xdr:col>
      <xdr:colOff>0</xdr:colOff>
      <xdr:row>48</xdr:row>
      <xdr:rowOff>12699</xdr:rowOff>
    </xdr:to>
    <xdr:graphicFrame macro="">
      <xdr:nvGraphicFramePr>
        <xdr:cNvPr id="3" name="Chart 2">
          <a:extLst>
            <a:ext uri="{FF2B5EF4-FFF2-40B4-BE49-F238E27FC236}">
              <a16:creationId xmlns:a16="http://schemas.microsoft.com/office/drawing/2014/main" id="{2C7C94DB-CC3B-DF40-B438-84A71BE5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28223</xdr:colOff>
      <xdr:row>26</xdr:row>
      <xdr:rowOff>0</xdr:rowOff>
    </xdr:from>
    <xdr:to>
      <xdr:col>21</xdr:col>
      <xdr:colOff>14111</xdr:colOff>
      <xdr:row>47</xdr:row>
      <xdr:rowOff>177800</xdr:rowOff>
    </xdr:to>
    <xdr:graphicFrame macro="">
      <xdr:nvGraphicFramePr>
        <xdr:cNvPr id="7" name="Chart 6">
          <a:extLst>
            <a:ext uri="{FF2B5EF4-FFF2-40B4-BE49-F238E27FC236}">
              <a16:creationId xmlns:a16="http://schemas.microsoft.com/office/drawing/2014/main" id="{4CA8B339-458A-A041-AC0F-4C01F7722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30</xdr:row>
      <xdr:rowOff>0</xdr:rowOff>
    </xdr:from>
    <xdr:to>
      <xdr:col>2</xdr:col>
      <xdr:colOff>177800</xdr:colOff>
      <xdr:row>62</xdr:row>
      <xdr:rowOff>50800</xdr:rowOff>
    </xdr:to>
    <mc:AlternateContent xmlns:mc="http://schemas.openxmlformats.org/markup-compatibility/2006" xmlns:a14="http://schemas.microsoft.com/office/drawing/2010/main">
      <mc:Choice Requires="a14">
        <xdr:graphicFrame macro="">
          <xdr:nvGraphicFramePr>
            <xdr:cNvPr id="8" name="Client Name">
              <a:extLst>
                <a:ext uri="{FF2B5EF4-FFF2-40B4-BE49-F238E27FC236}">
                  <a16:creationId xmlns:a16="http://schemas.microsoft.com/office/drawing/2014/main" id="{5517DE98-0A9B-D3F1-46C5-921BCB67E558}"/>
                </a:ext>
              </a:extLst>
            </xdr:cNvPr>
            <xdr:cNvGraphicFramePr/>
          </xdr:nvGraphicFramePr>
          <xdr:xfrm>
            <a:off x="0" y="0"/>
            <a:ext cx="0" cy="0"/>
          </xdr:xfrm>
          <a:graphic>
            <a:graphicData uri="http://schemas.microsoft.com/office/drawing/2010/slicer">
              <sle:slicer xmlns:sle="http://schemas.microsoft.com/office/drawing/2010/slicer" name="Client Name"/>
            </a:graphicData>
          </a:graphic>
        </xdr:graphicFrame>
      </mc:Choice>
      <mc:Fallback xmlns="">
        <xdr:sp macro="" textlink="">
          <xdr:nvSpPr>
            <xdr:cNvPr id="0" name=""/>
            <xdr:cNvSpPr>
              <a:spLocks noTextEdit="1"/>
            </xdr:cNvSpPr>
          </xdr:nvSpPr>
          <xdr:spPr>
            <a:xfrm>
              <a:off x="0" y="5926667"/>
              <a:ext cx="1842911" cy="25135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2</xdr:col>
      <xdr:colOff>177800</xdr:colOff>
      <xdr:row>28</xdr:row>
      <xdr:rowOff>180969</xdr:rowOff>
    </xdr:to>
    <mc:AlternateContent xmlns:mc="http://schemas.openxmlformats.org/markup-compatibility/2006" xmlns:a14="http://schemas.microsoft.com/office/drawing/2010/main">
      <mc:Choice Requires="a14">
        <xdr:graphicFrame macro="">
          <xdr:nvGraphicFramePr>
            <xdr:cNvPr id="10" name="Client Segment">
              <a:extLst>
                <a:ext uri="{FF2B5EF4-FFF2-40B4-BE49-F238E27FC236}">
                  <a16:creationId xmlns:a16="http://schemas.microsoft.com/office/drawing/2014/main" id="{79065C33-31CE-C1EE-C794-4D4D13F10FF9}"/>
                </a:ext>
              </a:extLst>
            </xdr:cNvPr>
            <xdr:cNvGraphicFramePr/>
          </xdr:nvGraphicFramePr>
          <xdr:xfrm>
            <a:off x="0" y="0"/>
            <a:ext cx="0" cy="0"/>
          </xdr:xfrm>
          <a:graphic>
            <a:graphicData uri="http://schemas.microsoft.com/office/drawing/2010/slicer">
              <sle:slicer xmlns:sle="http://schemas.microsoft.com/office/drawing/2010/slicer" name="Client Segment"/>
            </a:graphicData>
          </a:graphic>
        </xdr:graphicFrame>
      </mc:Choice>
      <mc:Fallback xmlns="">
        <xdr:sp macro="" textlink="">
          <xdr:nvSpPr>
            <xdr:cNvPr id="0" name=""/>
            <xdr:cNvSpPr>
              <a:spLocks noTextEdit="1"/>
            </xdr:cNvSpPr>
          </xdr:nvSpPr>
          <xdr:spPr>
            <a:xfrm>
              <a:off x="0" y="3198989"/>
              <a:ext cx="1842911" cy="2513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177800</xdr:rowOff>
    </xdr:from>
    <xdr:to>
      <xdr:col>2</xdr:col>
      <xdr:colOff>177800</xdr:colOff>
      <xdr:row>15</xdr:row>
      <xdr:rowOff>88900</xdr:rowOff>
    </xdr:to>
    <mc:AlternateContent xmlns:mc="http://schemas.openxmlformats.org/markup-compatibility/2006" xmlns:a14="http://schemas.microsoft.com/office/drawing/2010/main">
      <mc:Choice Requires="a14">
        <xdr:graphicFrame macro="">
          <xdr:nvGraphicFramePr>
            <xdr:cNvPr id="11" name="Months 1">
              <a:extLst>
                <a:ext uri="{FF2B5EF4-FFF2-40B4-BE49-F238E27FC236}">
                  <a16:creationId xmlns:a16="http://schemas.microsoft.com/office/drawing/2014/main" id="{54F7802E-E3D5-EF43-B4CE-FE5593F7AA7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375356"/>
              <a:ext cx="1842911" cy="26768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729545</xdr:colOff>
      <xdr:row>2</xdr:row>
      <xdr:rowOff>31045</xdr:rowOff>
    </xdr:from>
    <xdr:to>
      <xdr:col>5</xdr:col>
      <xdr:colOff>60678</xdr:colOff>
      <xdr:row>15</xdr:row>
      <xdr:rowOff>112889</xdr:rowOff>
    </xdr:to>
    <mc:AlternateContent xmlns:mc="http://schemas.openxmlformats.org/markup-compatibility/2006" xmlns:a14="http://schemas.microsoft.com/office/drawing/2010/main">
      <mc:Choice Requires="a14">
        <xdr:graphicFrame macro="">
          <xdr:nvGraphicFramePr>
            <xdr:cNvPr id="5" name="Start Date Year">
              <a:extLst>
                <a:ext uri="{FF2B5EF4-FFF2-40B4-BE49-F238E27FC236}">
                  <a16:creationId xmlns:a16="http://schemas.microsoft.com/office/drawing/2014/main" id="{D5FEA208-BD16-794C-6A08-C5480A6C8765}"/>
                </a:ext>
              </a:extLst>
            </xdr:cNvPr>
            <xdr:cNvGraphicFramePr/>
          </xdr:nvGraphicFramePr>
          <xdr:xfrm>
            <a:off x="0" y="0"/>
            <a:ext cx="0" cy="0"/>
          </xdr:xfrm>
          <a:graphic>
            <a:graphicData uri="http://schemas.microsoft.com/office/drawing/2010/slicer">
              <sle:slicer xmlns:sle="http://schemas.microsoft.com/office/drawing/2010/slicer" name="Start Date Year"/>
            </a:graphicData>
          </a:graphic>
        </xdr:graphicFrame>
      </mc:Choice>
      <mc:Fallback xmlns="">
        <xdr:sp macro="" textlink="">
          <xdr:nvSpPr>
            <xdr:cNvPr id="0" name=""/>
            <xdr:cNvSpPr>
              <a:spLocks noTextEdit="1"/>
            </xdr:cNvSpPr>
          </xdr:nvSpPr>
          <xdr:spPr>
            <a:xfrm>
              <a:off x="2394656" y="426156"/>
              <a:ext cx="1828800" cy="26500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635000</xdr:colOff>
      <xdr:row>21</xdr:row>
      <xdr:rowOff>177800</xdr:rowOff>
    </xdr:to>
    <xdr:graphicFrame macro="">
      <xdr:nvGraphicFramePr>
        <xdr:cNvPr id="4" name="Chart 3">
          <a:extLst>
            <a:ext uri="{FF2B5EF4-FFF2-40B4-BE49-F238E27FC236}">
              <a16:creationId xmlns:a16="http://schemas.microsoft.com/office/drawing/2014/main" id="{63AB3D4F-3EDC-2849-AD9B-4EAB2B20A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533400</xdr:colOff>
      <xdr:row>21</xdr:row>
      <xdr:rowOff>177800</xdr:rowOff>
    </xdr:to>
    <xdr:graphicFrame macro="">
      <xdr:nvGraphicFramePr>
        <xdr:cNvPr id="3" name="Chart 2">
          <a:extLst>
            <a:ext uri="{FF2B5EF4-FFF2-40B4-BE49-F238E27FC236}">
              <a16:creationId xmlns:a16="http://schemas.microsoft.com/office/drawing/2014/main" id="{680AC657-D4E3-A147-BB0F-94AEFED4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25400</xdr:colOff>
      <xdr:row>0</xdr:row>
      <xdr:rowOff>31750</xdr:rowOff>
    </xdr:from>
    <xdr:to>
      <xdr:col>11</xdr:col>
      <xdr:colOff>12700</xdr:colOff>
      <xdr:row>22</xdr:row>
      <xdr:rowOff>12700</xdr:rowOff>
    </xdr:to>
    <xdr:graphicFrame macro="">
      <xdr:nvGraphicFramePr>
        <xdr:cNvPr id="2" name="Chart 1">
          <a:extLst>
            <a:ext uri="{FF2B5EF4-FFF2-40B4-BE49-F238E27FC236}">
              <a16:creationId xmlns:a16="http://schemas.microsoft.com/office/drawing/2014/main" id="{002D4CDA-4D6F-1F83-EB5B-EDBC3C28F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552450</xdr:colOff>
      <xdr:row>22</xdr:row>
      <xdr:rowOff>12700</xdr:rowOff>
    </xdr:to>
    <xdr:graphicFrame macro="">
      <xdr:nvGraphicFramePr>
        <xdr:cNvPr id="6" name="Chart 5">
          <a:extLst>
            <a:ext uri="{FF2B5EF4-FFF2-40B4-BE49-F238E27FC236}">
              <a16:creationId xmlns:a16="http://schemas.microsoft.com/office/drawing/2014/main" id="{5FD93683-2E72-1842-BB18-68D2C8904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552450</xdr:colOff>
      <xdr:row>22</xdr:row>
      <xdr:rowOff>12700</xdr:rowOff>
    </xdr:to>
    <xdr:graphicFrame macro="">
      <xdr:nvGraphicFramePr>
        <xdr:cNvPr id="2" name="Chart 1">
          <a:extLst>
            <a:ext uri="{FF2B5EF4-FFF2-40B4-BE49-F238E27FC236}">
              <a16:creationId xmlns:a16="http://schemas.microsoft.com/office/drawing/2014/main" id="{55C67B18-5C66-F143-971B-9792102A0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552450</xdr:colOff>
      <xdr:row>22</xdr:row>
      <xdr:rowOff>12700</xdr:rowOff>
    </xdr:to>
    <xdr:graphicFrame macro="">
      <xdr:nvGraphicFramePr>
        <xdr:cNvPr id="2" name="Chart 1">
          <a:extLst>
            <a:ext uri="{FF2B5EF4-FFF2-40B4-BE49-F238E27FC236}">
              <a16:creationId xmlns:a16="http://schemas.microsoft.com/office/drawing/2014/main" id="{3E1C1D03-8A15-2946-91C6-E650277D3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552450</xdr:colOff>
      <xdr:row>22</xdr:row>
      <xdr:rowOff>12700</xdr:rowOff>
    </xdr:to>
    <xdr:graphicFrame macro="">
      <xdr:nvGraphicFramePr>
        <xdr:cNvPr id="2" name="Chart 1">
          <a:extLst>
            <a:ext uri="{FF2B5EF4-FFF2-40B4-BE49-F238E27FC236}">
              <a16:creationId xmlns:a16="http://schemas.microsoft.com/office/drawing/2014/main" id="{6A42BFCA-844B-5E42-B7BF-C0CCC8468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26</xdr:row>
      <xdr:rowOff>0</xdr:rowOff>
    </xdr:from>
    <xdr:to>
      <xdr:col>14</xdr:col>
      <xdr:colOff>50800</xdr:colOff>
      <xdr:row>53</xdr:row>
      <xdr:rowOff>12700</xdr:rowOff>
    </xdr:to>
    <xdr:graphicFrame macro="">
      <xdr:nvGraphicFramePr>
        <xdr:cNvPr id="7" name="Chart 6">
          <a:extLst>
            <a:ext uri="{FF2B5EF4-FFF2-40B4-BE49-F238E27FC236}">
              <a16:creationId xmlns:a16="http://schemas.microsoft.com/office/drawing/2014/main" id="{9C3951FC-431F-834E-BE1A-DB6A84BB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400050</xdr:colOff>
      <xdr:row>81</xdr:row>
      <xdr:rowOff>50800</xdr:rowOff>
    </xdr:from>
    <xdr:to>
      <xdr:col>11</xdr:col>
      <xdr:colOff>190500</xdr:colOff>
      <xdr:row>102</xdr:row>
      <xdr:rowOff>63500</xdr:rowOff>
    </xdr:to>
    <xdr:graphicFrame macro="">
      <xdr:nvGraphicFramePr>
        <xdr:cNvPr id="2" name="Chart 1">
          <a:extLst>
            <a:ext uri="{FF2B5EF4-FFF2-40B4-BE49-F238E27FC236}">
              <a16:creationId xmlns:a16="http://schemas.microsoft.com/office/drawing/2014/main" id="{4A8D7D97-1ECD-FFDF-9E41-E7CAE6854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120650</xdr:colOff>
      <xdr:row>81</xdr:row>
      <xdr:rowOff>25400</xdr:rowOff>
    </xdr:from>
    <xdr:to>
      <xdr:col>25</xdr:col>
      <xdr:colOff>2044700</xdr:colOff>
      <xdr:row>102</xdr:row>
      <xdr:rowOff>25400</xdr:rowOff>
    </xdr:to>
    <xdr:graphicFrame macro="">
      <xdr:nvGraphicFramePr>
        <xdr:cNvPr id="4" name="Chart 3">
          <a:extLst>
            <a:ext uri="{FF2B5EF4-FFF2-40B4-BE49-F238E27FC236}">
              <a16:creationId xmlns:a16="http://schemas.microsoft.com/office/drawing/2014/main" id="{E340D6BA-F65D-35DE-DFD1-C1D007C4B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184150</xdr:colOff>
      <xdr:row>81</xdr:row>
      <xdr:rowOff>38100</xdr:rowOff>
    </xdr:from>
    <xdr:to>
      <xdr:col>36</xdr:col>
      <xdr:colOff>431800</xdr:colOff>
      <xdr:row>102</xdr:row>
      <xdr:rowOff>50800</xdr:rowOff>
    </xdr:to>
    <xdr:graphicFrame macro="">
      <xdr:nvGraphicFramePr>
        <xdr:cNvPr id="5" name="Chart 4">
          <a:extLst>
            <a:ext uri="{FF2B5EF4-FFF2-40B4-BE49-F238E27FC236}">
              <a16:creationId xmlns:a16="http://schemas.microsoft.com/office/drawing/2014/main" id="{E1873E95-F36F-9E03-DACB-43EDBB4EB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81</xdr:row>
      <xdr:rowOff>0</xdr:rowOff>
    </xdr:from>
    <xdr:to>
      <xdr:col>47</xdr:col>
      <xdr:colOff>228600</xdr:colOff>
      <xdr:row>102</xdr:row>
      <xdr:rowOff>0</xdr:rowOff>
    </xdr:to>
    <xdr:graphicFrame macro="">
      <xdr:nvGraphicFramePr>
        <xdr:cNvPr id="7" name="Chart 6">
          <a:extLst>
            <a:ext uri="{FF2B5EF4-FFF2-40B4-BE49-F238E27FC236}">
              <a16:creationId xmlns:a16="http://schemas.microsoft.com/office/drawing/2014/main" id="{5386E168-6F07-4343-ADEC-4B27E6AEF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80</xdr:row>
      <xdr:rowOff>177800</xdr:rowOff>
    </xdr:from>
    <xdr:to>
      <xdr:col>5</xdr:col>
      <xdr:colOff>323850</xdr:colOff>
      <xdr:row>103</xdr:row>
      <xdr:rowOff>38100</xdr:rowOff>
    </xdr:to>
    <xdr:graphicFrame macro="">
      <xdr:nvGraphicFramePr>
        <xdr:cNvPr id="3" name="Chart 2">
          <a:extLst>
            <a:ext uri="{FF2B5EF4-FFF2-40B4-BE49-F238E27FC236}">
              <a16:creationId xmlns:a16="http://schemas.microsoft.com/office/drawing/2014/main" id="{BB99A55C-B50B-ED50-20F5-37CEFE9F1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431800</xdr:colOff>
      <xdr:row>2</xdr:row>
      <xdr:rowOff>12700</xdr:rowOff>
    </xdr:from>
    <xdr:to>
      <xdr:col>15</xdr:col>
      <xdr:colOff>431800</xdr:colOff>
      <xdr:row>24</xdr:row>
      <xdr:rowOff>0</xdr:rowOff>
    </xdr:to>
    <xdr:graphicFrame macro="">
      <xdr:nvGraphicFramePr>
        <xdr:cNvPr id="2" name="Chart 1">
          <a:extLst>
            <a:ext uri="{FF2B5EF4-FFF2-40B4-BE49-F238E27FC236}">
              <a16:creationId xmlns:a16="http://schemas.microsoft.com/office/drawing/2014/main" id="{D4954529-611F-514E-A6CE-C6EE50C20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29</xdr:row>
      <xdr:rowOff>177800</xdr:rowOff>
    </xdr:from>
    <xdr:to>
      <xdr:col>2</xdr:col>
      <xdr:colOff>177800</xdr:colOff>
      <xdr:row>62</xdr:row>
      <xdr:rowOff>25400</xdr:rowOff>
    </xdr:to>
    <mc:AlternateContent xmlns:mc="http://schemas.openxmlformats.org/markup-compatibility/2006" xmlns:a14="http://schemas.microsoft.com/office/drawing/2010/main">
      <mc:Choice Requires="a14">
        <xdr:graphicFrame macro="">
          <xdr:nvGraphicFramePr>
            <xdr:cNvPr id="7" name="Client Name 2">
              <a:extLst>
                <a:ext uri="{FF2B5EF4-FFF2-40B4-BE49-F238E27FC236}">
                  <a16:creationId xmlns:a16="http://schemas.microsoft.com/office/drawing/2014/main" id="{AFAD1FC9-7335-3D47-8337-E8393E922347}"/>
                </a:ext>
              </a:extLst>
            </xdr:cNvPr>
            <xdr:cNvGraphicFramePr/>
          </xdr:nvGraphicFramePr>
          <xdr:xfrm>
            <a:off x="0" y="0"/>
            <a:ext cx="0" cy="0"/>
          </xdr:xfrm>
          <a:graphic>
            <a:graphicData uri="http://schemas.microsoft.com/office/drawing/2010/slicer">
              <sle:slicer xmlns:sle="http://schemas.microsoft.com/office/drawing/2010/slicer" name="Client Name 2"/>
            </a:graphicData>
          </a:graphic>
        </xdr:graphicFrame>
      </mc:Choice>
      <mc:Fallback xmlns="">
        <xdr:sp macro="" textlink="">
          <xdr:nvSpPr>
            <xdr:cNvPr id="0" name=""/>
            <xdr:cNvSpPr>
              <a:spLocks noTextEdit="1"/>
            </xdr:cNvSpPr>
          </xdr:nvSpPr>
          <xdr:spPr>
            <a:xfrm>
              <a:off x="0" y="5892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177800</xdr:colOff>
      <xdr:row>29</xdr:row>
      <xdr:rowOff>28569</xdr:rowOff>
    </xdr:to>
    <mc:AlternateContent xmlns:mc="http://schemas.openxmlformats.org/markup-compatibility/2006" xmlns:a14="http://schemas.microsoft.com/office/drawing/2010/main">
      <mc:Choice Requires="a14">
        <xdr:graphicFrame macro="">
          <xdr:nvGraphicFramePr>
            <xdr:cNvPr id="9" name="Client Segment 1">
              <a:extLst>
                <a:ext uri="{FF2B5EF4-FFF2-40B4-BE49-F238E27FC236}">
                  <a16:creationId xmlns:a16="http://schemas.microsoft.com/office/drawing/2014/main" id="{D40BE543-1B00-C648-BAB8-053BC3A32E4E}"/>
                </a:ext>
              </a:extLst>
            </xdr:cNvPr>
            <xdr:cNvGraphicFramePr/>
          </xdr:nvGraphicFramePr>
          <xdr:xfrm>
            <a:off x="0" y="0"/>
            <a:ext cx="0" cy="0"/>
          </xdr:xfrm>
          <a:graphic>
            <a:graphicData uri="http://schemas.microsoft.com/office/drawing/2010/slicer">
              <sle:slicer xmlns:sle="http://schemas.microsoft.com/office/drawing/2010/slicer" name="Client Segment 1"/>
            </a:graphicData>
          </a:graphic>
        </xdr:graphicFrame>
      </mc:Choice>
      <mc:Fallback xmlns="">
        <xdr:sp macro="" textlink="">
          <xdr:nvSpPr>
            <xdr:cNvPr id="0" name=""/>
            <xdr:cNvSpPr>
              <a:spLocks noTextEdit="1"/>
            </xdr:cNvSpPr>
          </xdr:nvSpPr>
          <xdr:spPr>
            <a:xfrm>
              <a:off x="0" y="3314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xdr:colOff>
      <xdr:row>24</xdr:row>
      <xdr:rowOff>177800</xdr:rowOff>
    </xdr:from>
    <xdr:to>
      <xdr:col>11</xdr:col>
      <xdr:colOff>0</xdr:colOff>
      <xdr:row>46</xdr:row>
      <xdr:rowOff>152400</xdr:rowOff>
    </xdr:to>
    <xdr:graphicFrame macro="">
      <xdr:nvGraphicFramePr>
        <xdr:cNvPr id="12" name="Chart 11">
          <a:extLst>
            <a:ext uri="{FF2B5EF4-FFF2-40B4-BE49-F238E27FC236}">
              <a16:creationId xmlns:a16="http://schemas.microsoft.com/office/drawing/2014/main" id="{2EED4412-AF72-834B-81AB-B1F4EE6C2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24</xdr:row>
      <xdr:rowOff>177800</xdr:rowOff>
    </xdr:from>
    <xdr:to>
      <xdr:col>20</xdr:col>
      <xdr:colOff>12700</xdr:colOff>
      <xdr:row>46</xdr:row>
      <xdr:rowOff>152400</xdr:rowOff>
    </xdr:to>
    <xdr:graphicFrame macro="">
      <xdr:nvGraphicFramePr>
        <xdr:cNvPr id="13" name="Chart 12">
          <a:extLst>
            <a:ext uri="{FF2B5EF4-FFF2-40B4-BE49-F238E27FC236}">
              <a16:creationId xmlns:a16="http://schemas.microsoft.com/office/drawing/2014/main" id="{106C2CB5-77BF-DC45-8F6D-DCAD33461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0</xdr:rowOff>
    </xdr:from>
    <xdr:to>
      <xdr:col>2</xdr:col>
      <xdr:colOff>177800</xdr:colOff>
      <xdr:row>15</xdr:row>
      <xdr:rowOff>101600</xdr:rowOff>
    </xdr:to>
    <mc:AlternateContent xmlns:mc="http://schemas.openxmlformats.org/markup-compatibility/2006" xmlns:a14="http://schemas.microsoft.com/office/drawing/2010/main">
      <mc:Choice Requires="a14">
        <xdr:graphicFrame macro="">
          <xdr:nvGraphicFramePr>
            <xdr:cNvPr id="15" name="Months">
              <a:extLst>
                <a:ext uri="{FF2B5EF4-FFF2-40B4-BE49-F238E27FC236}">
                  <a16:creationId xmlns:a16="http://schemas.microsoft.com/office/drawing/2014/main" id="{CB449192-0302-7241-B927-A6E9BFD5A98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571500"/>
              <a:ext cx="1828800" cy="257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2</xdr:row>
      <xdr:rowOff>0</xdr:rowOff>
    </xdr:from>
    <xdr:to>
      <xdr:col>5</xdr:col>
      <xdr:colOff>190500</xdr:colOff>
      <xdr:row>14</xdr:row>
      <xdr:rowOff>142869</xdr:rowOff>
    </xdr:to>
    <mc:AlternateContent xmlns:mc="http://schemas.openxmlformats.org/markup-compatibility/2006" xmlns:a14="http://schemas.microsoft.com/office/drawing/2010/main">
      <mc:Choice Requires="a14">
        <xdr:graphicFrame macro="">
          <xdr:nvGraphicFramePr>
            <xdr:cNvPr id="3" name="Start Date Year 1">
              <a:extLst>
                <a:ext uri="{FF2B5EF4-FFF2-40B4-BE49-F238E27FC236}">
                  <a16:creationId xmlns:a16="http://schemas.microsoft.com/office/drawing/2014/main" id="{266022C6-9520-D152-D742-DA21B5301F55}"/>
                </a:ext>
              </a:extLst>
            </xdr:cNvPr>
            <xdr:cNvGraphicFramePr/>
          </xdr:nvGraphicFramePr>
          <xdr:xfrm>
            <a:off x="0" y="0"/>
            <a:ext cx="0" cy="0"/>
          </xdr:xfrm>
          <a:graphic>
            <a:graphicData uri="http://schemas.microsoft.com/office/drawing/2010/slicer">
              <sle:slicer xmlns:sle="http://schemas.microsoft.com/office/drawing/2010/slicer" name="Start Date Year 1"/>
            </a:graphicData>
          </a:graphic>
        </xdr:graphicFrame>
      </mc:Choice>
      <mc:Fallback xmlns="">
        <xdr:sp macro="" textlink="">
          <xdr:nvSpPr>
            <xdr:cNvPr id="0" name=""/>
            <xdr:cNvSpPr>
              <a:spLocks noTextEdit="1"/>
            </xdr:cNvSpPr>
          </xdr:nvSpPr>
          <xdr:spPr>
            <a:xfrm>
              <a:off x="2489200" y="381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533400</xdr:colOff>
      <xdr:row>22</xdr:row>
      <xdr:rowOff>177800</xdr:rowOff>
    </xdr:to>
    <xdr:graphicFrame macro="">
      <xdr:nvGraphicFramePr>
        <xdr:cNvPr id="2" name="Chart 1">
          <a:extLst>
            <a:ext uri="{FF2B5EF4-FFF2-40B4-BE49-F238E27FC236}">
              <a16:creationId xmlns:a16="http://schemas.microsoft.com/office/drawing/2014/main" id="{B011AB62-3B96-5748-947C-7064897DF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xdr:row>
      <xdr:rowOff>0</xdr:rowOff>
    </xdr:from>
    <xdr:to>
      <xdr:col>23</xdr:col>
      <xdr:colOff>546100</xdr:colOff>
      <xdr:row>22</xdr:row>
      <xdr:rowOff>171450</xdr:rowOff>
    </xdr:to>
    <xdr:graphicFrame macro="">
      <xdr:nvGraphicFramePr>
        <xdr:cNvPr id="3" name="Chart 2">
          <a:extLst>
            <a:ext uri="{FF2B5EF4-FFF2-40B4-BE49-F238E27FC236}">
              <a16:creationId xmlns:a16="http://schemas.microsoft.com/office/drawing/2014/main" id="{56473C75-3B75-EB48-BDB7-BC0CE8A0F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25</xdr:row>
      <xdr:rowOff>0</xdr:rowOff>
    </xdr:from>
    <xdr:to>
      <xdr:col>14</xdr:col>
      <xdr:colOff>552450</xdr:colOff>
      <xdr:row>47</xdr:row>
      <xdr:rowOff>12700</xdr:rowOff>
    </xdr:to>
    <xdr:graphicFrame macro="">
      <xdr:nvGraphicFramePr>
        <xdr:cNvPr id="4" name="Chart 3">
          <a:extLst>
            <a:ext uri="{FF2B5EF4-FFF2-40B4-BE49-F238E27FC236}">
              <a16:creationId xmlns:a16="http://schemas.microsoft.com/office/drawing/2014/main" id="{7AF4E721-AEED-8B4B-950C-4B3179DB2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177800</xdr:rowOff>
    </xdr:from>
    <xdr:to>
      <xdr:col>2</xdr:col>
      <xdr:colOff>177800</xdr:colOff>
      <xdr:row>61</xdr:row>
      <xdr:rowOff>12700</xdr:rowOff>
    </xdr:to>
    <mc:AlternateContent xmlns:mc="http://schemas.openxmlformats.org/markup-compatibility/2006" xmlns:a14="http://schemas.microsoft.com/office/drawing/2010/main">
      <mc:Choice Requires="a14">
        <xdr:graphicFrame macro="">
          <xdr:nvGraphicFramePr>
            <xdr:cNvPr id="6" name="Client Name 3">
              <a:extLst>
                <a:ext uri="{FF2B5EF4-FFF2-40B4-BE49-F238E27FC236}">
                  <a16:creationId xmlns:a16="http://schemas.microsoft.com/office/drawing/2014/main" id="{B712E44F-61F4-F146-9FFF-6EC1FB973E0A}"/>
                </a:ext>
              </a:extLst>
            </xdr:cNvPr>
            <xdr:cNvGraphicFramePr/>
          </xdr:nvGraphicFramePr>
          <xdr:xfrm>
            <a:off x="0" y="0"/>
            <a:ext cx="0" cy="0"/>
          </xdr:xfrm>
          <a:graphic>
            <a:graphicData uri="http://schemas.microsoft.com/office/drawing/2010/slicer">
              <sle:slicer xmlns:sle="http://schemas.microsoft.com/office/drawing/2010/slicer" name="Client Name 3"/>
            </a:graphicData>
          </a:graphic>
        </xdr:graphicFrame>
      </mc:Choice>
      <mc:Fallback xmlns="">
        <xdr:sp macro="" textlink="">
          <xdr:nvSpPr>
            <xdr:cNvPr id="0" name=""/>
            <xdr:cNvSpPr>
              <a:spLocks noTextEdit="1"/>
            </xdr:cNvSpPr>
          </xdr:nvSpPr>
          <xdr:spPr>
            <a:xfrm>
              <a:off x="0" y="551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76200</xdr:rowOff>
    </xdr:from>
    <xdr:to>
      <xdr:col>2</xdr:col>
      <xdr:colOff>177800</xdr:colOff>
      <xdr:row>28</xdr:row>
      <xdr:rowOff>28569</xdr:rowOff>
    </xdr:to>
    <mc:AlternateContent xmlns:mc="http://schemas.openxmlformats.org/markup-compatibility/2006" xmlns:a14="http://schemas.microsoft.com/office/drawing/2010/main">
      <mc:Choice Requires="a14">
        <xdr:graphicFrame macro="">
          <xdr:nvGraphicFramePr>
            <xdr:cNvPr id="7" name="Client Segment 2">
              <a:extLst>
                <a:ext uri="{FF2B5EF4-FFF2-40B4-BE49-F238E27FC236}">
                  <a16:creationId xmlns:a16="http://schemas.microsoft.com/office/drawing/2014/main" id="{F24D886E-7AD5-1144-A37E-186310CC72E0}"/>
                </a:ext>
              </a:extLst>
            </xdr:cNvPr>
            <xdr:cNvGraphicFramePr/>
          </xdr:nvGraphicFramePr>
          <xdr:xfrm>
            <a:off x="0" y="0"/>
            <a:ext cx="0" cy="0"/>
          </xdr:xfrm>
          <a:graphic>
            <a:graphicData uri="http://schemas.microsoft.com/office/drawing/2010/slicer">
              <sle:slicer xmlns:sle="http://schemas.microsoft.com/office/drawing/2010/slicer" name="Client Segment 2"/>
            </a:graphicData>
          </a:graphic>
        </xdr:graphicFrame>
      </mc:Choice>
      <mc:Fallback xmlns="">
        <xdr:sp macro="" textlink="">
          <xdr:nvSpPr>
            <xdr:cNvPr id="0" name=""/>
            <xdr:cNvSpPr>
              <a:spLocks noTextEdit="1"/>
            </xdr:cNvSpPr>
          </xdr:nvSpPr>
          <xdr:spPr>
            <a:xfrm>
              <a:off x="0" y="293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177800</xdr:colOff>
      <xdr:row>14</xdr:row>
      <xdr:rowOff>101600</xdr:rowOff>
    </xdr:to>
    <mc:AlternateContent xmlns:mc="http://schemas.openxmlformats.org/markup-compatibility/2006" xmlns:a14="http://schemas.microsoft.com/office/drawing/2010/main">
      <mc:Choice Requires="a14">
        <xdr:graphicFrame macro="">
          <xdr:nvGraphicFramePr>
            <xdr:cNvPr id="8" name="Months 2">
              <a:extLst>
                <a:ext uri="{FF2B5EF4-FFF2-40B4-BE49-F238E27FC236}">
                  <a16:creationId xmlns:a16="http://schemas.microsoft.com/office/drawing/2014/main" id="{B8AF5299-066D-9842-AB1B-60AB1DF741D7}"/>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0" y="190500"/>
              <a:ext cx="1828800" cy="257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25</xdr:row>
      <xdr:rowOff>0</xdr:rowOff>
    </xdr:from>
    <xdr:to>
      <xdr:col>23</xdr:col>
      <xdr:colOff>552450</xdr:colOff>
      <xdr:row>47</xdr:row>
      <xdr:rowOff>12700</xdr:rowOff>
    </xdr:to>
    <xdr:graphicFrame macro="">
      <xdr:nvGraphicFramePr>
        <xdr:cNvPr id="11" name="Chart 10">
          <a:extLst>
            <a:ext uri="{FF2B5EF4-FFF2-40B4-BE49-F238E27FC236}">
              <a16:creationId xmlns:a16="http://schemas.microsoft.com/office/drawing/2014/main" id="{70DCF5AD-2A0E-2346-874A-FF98944BC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49</xdr:row>
      <xdr:rowOff>0</xdr:rowOff>
    </xdr:from>
    <xdr:to>
      <xdr:col>14</xdr:col>
      <xdr:colOff>552450</xdr:colOff>
      <xdr:row>71</xdr:row>
      <xdr:rowOff>12700</xdr:rowOff>
    </xdr:to>
    <xdr:graphicFrame macro="">
      <xdr:nvGraphicFramePr>
        <xdr:cNvPr id="13" name="Chart 12">
          <a:extLst>
            <a:ext uri="{FF2B5EF4-FFF2-40B4-BE49-F238E27FC236}">
              <a16:creationId xmlns:a16="http://schemas.microsoft.com/office/drawing/2014/main" id="{3F4D7E07-57AD-C648-BC68-C35BA8526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49</xdr:row>
      <xdr:rowOff>0</xdr:rowOff>
    </xdr:from>
    <xdr:to>
      <xdr:col>23</xdr:col>
      <xdr:colOff>552450</xdr:colOff>
      <xdr:row>71</xdr:row>
      <xdr:rowOff>12700</xdr:rowOff>
    </xdr:to>
    <xdr:graphicFrame macro="">
      <xdr:nvGraphicFramePr>
        <xdr:cNvPr id="14" name="Chart 13">
          <a:extLst>
            <a:ext uri="{FF2B5EF4-FFF2-40B4-BE49-F238E27FC236}">
              <a16:creationId xmlns:a16="http://schemas.microsoft.com/office/drawing/2014/main" id="{05A5F4F8-AF86-564D-B000-DC022803A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25400</xdr:colOff>
      <xdr:row>1</xdr:row>
      <xdr:rowOff>12700</xdr:rowOff>
    </xdr:from>
    <xdr:to>
      <xdr:col>5</xdr:col>
      <xdr:colOff>203200</xdr:colOff>
      <xdr:row>13</xdr:row>
      <xdr:rowOff>155569</xdr:rowOff>
    </xdr:to>
    <mc:AlternateContent xmlns:mc="http://schemas.openxmlformats.org/markup-compatibility/2006" xmlns:a14="http://schemas.microsoft.com/office/drawing/2010/main">
      <mc:Choice Requires="a14">
        <xdr:graphicFrame macro="">
          <xdr:nvGraphicFramePr>
            <xdr:cNvPr id="5" name="Start Date Year 2">
              <a:extLst>
                <a:ext uri="{FF2B5EF4-FFF2-40B4-BE49-F238E27FC236}">
                  <a16:creationId xmlns:a16="http://schemas.microsoft.com/office/drawing/2014/main" id="{709BC918-6546-03A1-1C7B-1EA88B16F400}"/>
                </a:ext>
              </a:extLst>
            </xdr:cNvPr>
            <xdr:cNvGraphicFramePr/>
          </xdr:nvGraphicFramePr>
          <xdr:xfrm>
            <a:off x="0" y="0"/>
            <a:ext cx="0" cy="0"/>
          </xdr:xfrm>
          <a:graphic>
            <a:graphicData uri="http://schemas.microsoft.com/office/drawing/2010/slicer">
              <sle:slicer xmlns:sle="http://schemas.microsoft.com/office/drawing/2010/slicer" name="Start Date Year 2"/>
            </a:graphicData>
          </a:graphic>
        </xdr:graphicFrame>
      </mc:Choice>
      <mc:Fallback xmlns="">
        <xdr:sp macro="" textlink="">
          <xdr:nvSpPr>
            <xdr:cNvPr id="0" name=""/>
            <xdr:cNvSpPr>
              <a:spLocks noTextEdit="1"/>
            </xdr:cNvSpPr>
          </xdr:nvSpPr>
          <xdr:spPr>
            <a:xfrm>
              <a:off x="2501900" y="203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533400</xdr:colOff>
      <xdr:row>21</xdr:row>
      <xdr:rowOff>177800</xdr:rowOff>
    </xdr:to>
    <xdr:graphicFrame macro="">
      <xdr:nvGraphicFramePr>
        <xdr:cNvPr id="2" name="Chart 1">
          <a:extLst>
            <a:ext uri="{FF2B5EF4-FFF2-40B4-BE49-F238E27FC236}">
              <a16:creationId xmlns:a16="http://schemas.microsoft.com/office/drawing/2014/main" id="{D7C771F1-E9B1-4A46-9093-411309BF2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1206500</xdr:colOff>
      <xdr:row>0</xdr:row>
      <xdr:rowOff>57150</xdr:rowOff>
    </xdr:from>
    <xdr:to>
      <xdr:col>6</xdr:col>
      <xdr:colOff>812800</xdr:colOff>
      <xdr:row>20</xdr:row>
      <xdr:rowOff>0</xdr:rowOff>
    </xdr:to>
    <xdr:graphicFrame macro="">
      <xdr:nvGraphicFramePr>
        <xdr:cNvPr id="3" name="Chart 2">
          <a:extLst>
            <a:ext uri="{FF2B5EF4-FFF2-40B4-BE49-F238E27FC236}">
              <a16:creationId xmlns:a16="http://schemas.microsoft.com/office/drawing/2014/main" id="{FD417F54-56A2-7293-5506-B569B0499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1206500</xdr:colOff>
      <xdr:row>0</xdr:row>
      <xdr:rowOff>57150</xdr:rowOff>
    </xdr:from>
    <xdr:to>
      <xdr:col>6</xdr:col>
      <xdr:colOff>812800</xdr:colOff>
      <xdr:row>20</xdr:row>
      <xdr:rowOff>0</xdr:rowOff>
    </xdr:to>
    <xdr:graphicFrame macro="">
      <xdr:nvGraphicFramePr>
        <xdr:cNvPr id="2" name="Chart 1">
          <a:extLst>
            <a:ext uri="{FF2B5EF4-FFF2-40B4-BE49-F238E27FC236}">
              <a16:creationId xmlns:a16="http://schemas.microsoft.com/office/drawing/2014/main" id="{642B3BDE-8662-4E4B-8632-A8186AAA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533400</xdr:colOff>
      <xdr:row>21</xdr:row>
      <xdr:rowOff>177800</xdr:rowOff>
    </xdr:to>
    <xdr:graphicFrame macro="">
      <xdr:nvGraphicFramePr>
        <xdr:cNvPr id="2" name="Chart 1">
          <a:extLst>
            <a:ext uri="{FF2B5EF4-FFF2-40B4-BE49-F238E27FC236}">
              <a16:creationId xmlns:a16="http://schemas.microsoft.com/office/drawing/2014/main" id="{F9573046-1B0B-F640-A009-F7CA00881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1206500</xdr:colOff>
      <xdr:row>0</xdr:row>
      <xdr:rowOff>57150</xdr:rowOff>
    </xdr:from>
    <xdr:to>
      <xdr:col>6</xdr:col>
      <xdr:colOff>76200</xdr:colOff>
      <xdr:row>14</xdr:row>
      <xdr:rowOff>133350</xdr:rowOff>
    </xdr:to>
    <xdr:graphicFrame macro="">
      <xdr:nvGraphicFramePr>
        <xdr:cNvPr id="2" name="Chart 1">
          <a:extLst>
            <a:ext uri="{FF2B5EF4-FFF2-40B4-BE49-F238E27FC236}">
              <a16:creationId xmlns:a16="http://schemas.microsoft.com/office/drawing/2014/main" id="{EBB849A4-5DCE-9C45-8DF6-AB1D5A692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1206500</xdr:colOff>
      <xdr:row>0</xdr:row>
      <xdr:rowOff>57150</xdr:rowOff>
    </xdr:from>
    <xdr:to>
      <xdr:col>9</xdr:col>
      <xdr:colOff>76200</xdr:colOff>
      <xdr:row>14</xdr:row>
      <xdr:rowOff>133350</xdr:rowOff>
    </xdr:to>
    <xdr:graphicFrame macro="">
      <xdr:nvGraphicFramePr>
        <xdr:cNvPr id="2" name="Chart 1">
          <a:extLst>
            <a:ext uri="{FF2B5EF4-FFF2-40B4-BE49-F238E27FC236}">
              <a16:creationId xmlns:a16="http://schemas.microsoft.com/office/drawing/2014/main" id="{4A549412-A118-2448-9705-5459E6738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215900</xdr:colOff>
      <xdr:row>13</xdr:row>
      <xdr:rowOff>101600</xdr:rowOff>
    </xdr:to>
    <mc:AlternateContent xmlns:mc="http://schemas.openxmlformats.org/markup-compatibility/2006" xmlns:a14="http://schemas.microsoft.com/office/drawing/2010/main">
      <mc:Choice Requires="a14">
        <xdr:graphicFrame macro="">
          <xdr:nvGraphicFramePr>
            <xdr:cNvPr id="4" name="Months 3">
              <a:extLst>
                <a:ext uri="{FF2B5EF4-FFF2-40B4-BE49-F238E27FC236}">
                  <a16:creationId xmlns:a16="http://schemas.microsoft.com/office/drawing/2014/main" id="{8B5128BA-9DCC-4C4E-81EF-62458B0A3EC8}"/>
                </a:ext>
              </a:extLst>
            </xdr:cNvPr>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0" y="0"/>
              <a:ext cx="1828800" cy="257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63500</xdr:rowOff>
    </xdr:from>
    <xdr:to>
      <xdr:col>2</xdr:col>
      <xdr:colOff>177800</xdr:colOff>
      <xdr:row>27</xdr:row>
      <xdr:rowOff>15869</xdr:rowOff>
    </xdr:to>
    <mc:AlternateContent xmlns:mc="http://schemas.openxmlformats.org/markup-compatibility/2006" xmlns:a14="http://schemas.microsoft.com/office/drawing/2010/main">
      <mc:Choice Requires="a14">
        <xdr:graphicFrame macro="">
          <xdr:nvGraphicFramePr>
            <xdr:cNvPr id="3" name="Start Date Year 3">
              <a:extLst>
                <a:ext uri="{FF2B5EF4-FFF2-40B4-BE49-F238E27FC236}">
                  <a16:creationId xmlns:a16="http://schemas.microsoft.com/office/drawing/2014/main" id="{28C0B70A-1313-DC91-DC87-5F6EBECB8CF8}"/>
                </a:ext>
              </a:extLst>
            </xdr:cNvPr>
            <xdr:cNvGraphicFramePr/>
          </xdr:nvGraphicFramePr>
          <xdr:xfrm>
            <a:off x="0" y="0"/>
            <a:ext cx="0" cy="0"/>
          </xdr:xfrm>
          <a:graphic>
            <a:graphicData uri="http://schemas.microsoft.com/office/drawing/2010/slicer">
              <sle:slicer xmlns:sle="http://schemas.microsoft.com/office/drawing/2010/slicer" name="Start Date Year 3"/>
            </a:graphicData>
          </a:graphic>
        </xdr:graphicFrame>
      </mc:Choice>
      <mc:Fallback xmlns="">
        <xdr:sp macro="" textlink="">
          <xdr:nvSpPr>
            <xdr:cNvPr id="0" name=""/>
            <xdr:cNvSpPr>
              <a:spLocks noTextEdit="1"/>
            </xdr:cNvSpPr>
          </xdr:nvSpPr>
          <xdr:spPr>
            <a:xfrm>
              <a:off x="0" y="2730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hepo Machele" refreshedDate="45356.441414699075" createdVersion="8" refreshedVersion="8" minRefreshableVersion="3" recordCount="49" xr:uid="{9A08250B-1657-2546-B074-9E40FDBC595D}">
  <cacheSource type="worksheet">
    <worksheetSource name="Table1"/>
  </cacheSource>
  <cacheFields count="29">
    <cacheField name="Client Name" numFmtId="0">
      <sharedItems count="58">
        <s v="CHANCEN INTERNATIONAL RWANDA"/>
        <s v="JASIRI SIMBA COHORT"/>
        <s v="NEVER AGAIN RWANDA"/>
        <s v="CNR TRANSPORT LTD"/>
        <s v="CZ RWANDA LTD"/>
        <s v="TESTSOLUTIONS RWANDA LTD"/>
        <s v="VUBA VUBA AFRICA LTD"/>
        <s v="RUTINDUKANAMUREGO ROGER MARC"/>
        <s v="NIYONSHUTI LAMBERT"/>
        <s v="RWANDA BANKERS ASSOCIATION"/>
        <s v="Three Stones International Rwanda Ltd"/>
        <s v="FONDATION PAUL GERIN-LAJOIE"/>
        <s v="YLABS STUDIO LTD"/>
        <s v="KFW "/>
        <s v="BAZIRA JEAN LEON HERTIER"/>
        <s v="ICDL AFRICA LTD"/>
        <s v="AFRICAN LEADERSHIP UNIVERSITY LTD"/>
        <s v="ISHUSHO Limited"/>
        <s v="EDPU AFRICA Limited"/>
        <s v="BALLISTIC BURGERS LTD"/>
        <s v="TEK EXPERTS RWANDA LTD"/>
        <s v="COMZAFRICA RWANDA LIMITED"/>
        <s v="MARIUS KAMUGISHA"/>
        <s v="FAITH MBABAZI (Norrsken Pool)"/>
        <s v="DOVE INTERNATIONAL MONTESSORI SCHOOL Ltd"/>
        <s v="FEMINIST ACTION DEVELOPMENT AMBITION"/>
        <s v="GARDAWORLD (RWANDA) Ltd"/>
        <s v="NSENGIYUMVA VINCENT"/>
        <s v="KIVU CHOICE LIMITED"/>
        <s v="ACME TECHNOLOGIES LTD"/>
        <s v="RON WEISS"/>
        <s v="STRADH Ltd - B"/>
        <s v="NIYITANGA KWIZERA SYLVIE"/>
        <s v="COMMUNITY BASED SOCIOTHERAPY"/>
        <s v="PLASTIC SURGERY AND BEAUTY CLINICS"/>
        <s v="PROSPER NSENGIYUMVA"/>
        <s v="AURA ENTERPRISES LTD"/>
        <s v="AXIOM NETWORKS LTD"/>
        <s v="JOSUE IBULUNGU"/>
        <s v="UMUGISHA KWIZERA LILIOSE"/>
        <s v="PRIME BIODIVERSITY CONSERVATION"/>
        <s v="UWABEZA FAUSTA"/>
        <s v="ESPARTNERS"/>
        <s v="UNLOCK IMPACT Ltd"/>
        <s v="KIVU CHOICE LTD-FUND"/>
        <s v="MIGHTY ENGINEERING"/>
        <s v="OPENFIELD RWANDA Limited"/>
        <s v="CHALLENGES RWANDA"/>
        <s v="C Z RWANDA LTD" u="1"/>
        <s v="THREE STONES INTERNATIONAL RWANDA" u="1"/>
        <s v="FONDATION PAUL GERIN LAJOIE" u="1"/>
        <s v="KFW" u="1"/>
        <s v="ICDL AFRICA Limited" u="1"/>
        <s v="African Leadership university" u="1"/>
        <s v="TEK-EXPERTS RWANDA LTD" u="1"/>
        <s v="COMZAFRICA" u="1"/>
        <s v="DOVE INTERNATIONAL MONTESSORI SCHOOL" u="1"/>
        <s v="GARDAWORLD RWANDA LTD" u="1"/>
      </sharedItems>
    </cacheField>
    <cacheField name="Cover Type" numFmtId="0">
      <sharedItems/>
    </cacheField>
    <cacheField name="Intermediary" numFmtId="0">
      <sharedItems count="4">
        <s v="Direct"/>
        <s v="Broker"/>
        <s v="Agent"/>
        <s v="Liaison Group" u="1"/>
      </sharedItems>
    </cacheField>
    <cacheField name="Basic Premium" numFmtId="164">
      <sharedItems containsSemiMixedTypes="0" containsString="0" containsNumber="1" minValue="457803" maxValue="322358182"/>
    </cacheField>
    <cacheField name="5% CBHI" numFmtId="164">
      <sharedItems containsSemiMixedTypes="0" containsString="0" containsNumber="1" minValue="22890.15" maxValue="16117909.100000001"/>
    </cacheField>
    <cacheField name="Admin fees" numFmtId="164">
      <sharedItems containsSemiMixedTypes="0" containsString="0" containsNumber="1" containsInteger="1" minValue="0" maxValue="2320000"/>
    </cacheField>
    <cacheField name="Total insured Premium" numFmtId="164">
      <sharedItems containsSemiMixedTypes="0" containsString="0" containsNumber="1" minValue="490693.15" maxValue="340796091.10000002"/>
    </cacheField>
    <cacheField name="Fund Amount" numFmtId="164">
      <sharedItems containsString="0" containsBlank="1" containsNumber="1" minValue="0" maxValue="10029600"/>
    </cacheField>
    <cacheField name="Total Premium" numFmtId="164">
      <sharedItems containsSemiMixedTypes="0" containsString="0" containsNumber="1" minValue="490693.15" maxValue="340796091.10000002"/>
    </cacheField>
    <cacheField name="Average Premium per Principal Member" numFmtId="0">
      <sharedItems containsSemiMixedTypes="0" containsString="0" containsNumber="1" minValue="135847.38092105262" maxValue="2918381.6"/>
    </cacheField>
    <cacheField name="No. of Principal Member" numFmtId="0">
      <sharedItems containsSemiMixedTypes="0" containsString="0" containsNumber="1" containsInteger="1" minValue="1" maxValue="928"/>
    </cacheField>
    <cacheField name="Dependents" numFmtId="0">
      <sharedItems containsSemiMixedTypes="0" containsString="0" containsNumber="1" containsInteger="1" minValue="0" maxValue="395"/>
    </cacheField>
    <cacheField name="Total lives" numFmtId="0">
      <sharedItems containsSemiMixedTypes="0" containsString="0" containsNumber="1" containsInteger="1" minValue="1" maxValue="928"/>
    </cacheField>
    <cacheField name="START DATE" numFmtId="167">
      <sharedItems containsSemiMixedTypes="0" containsNonDate="0" containsDate="1" containsString="0" minDate="2023-02-14T00:00:00" maxDate="2024-02-29T00:00:00" count="42">
        <d v="2023-02-14T00:00:00"/>
        <d v="2023-03-02T00:00:00"/>
        <d v="2023-03-07T00:00:00"/>
        <d v="2023-03-28T00:00:00"/>
        <d v="2023-04-14T00:00:00"/>
        <d v="2023-05-01T00:00:00"/>
        <d v="2023-05-25T00:00:00"/>
        <d v="2023-07-07T00:00:00"/>
        <d v="2023-07-14T00:00:00"/>
        <d v="2023-06-15T00:00:00"/>
        <d v="2023-06-18T00:00:00"/>
        <d v="2023-06-20T00:00:00"/>
        <d v="2023-07-22T00:00:00"/>
        <d v="2023-08-07T00:00:00"/>
        <d v="2023-08-11T00:00:00"/>
        <d v="2023-08-15T00:00:00"/>
        <d v="2023-09-01T00:00:00"/>
        <d v="2023-09-25T00:00:00"/>
        <d v="2023-10-05T00:00:00"/>
        <d v="2023-10-07T00:00:00"/>
        <d v="2023-10-19T00:00:00"/>
        <d v="2023-10-24T00:00:00"/>
        <d v="2023-10-25T00:00:00"/>
        <d v="2023-10-31T00:00:00"/>
        <d v="2023-11-14T00:00:00"/>
        <d v="2023-11-16T00:00:00"/>
        <d v="2023-11-24T00:00:00"/>
        <d v="2023-11-17T00:00:00"/>
        <d v="2023-12-12T00:00:00"/>
        <d v="2023-12-13T00:00:00"/>
        <d v="2023-12-27T00:00:00"/>
        <d v="2024-01-01T00:00:00"/>
        <d v="2024-01-10T00:00:00"/>
        <d v="2024-01-13T00:00:00"/>
        <d v="2024-01-25T00:00:00"/>
        <d v="2024-02-05T00:00:00"/>
        <d v="2024-02-06T00:00:00"/>
        <d v="2024-02-09T00:00:00"/>
        <d v="2024-02-14T00:00:00"/>
        <d v="2024-02-22T00:00:00"/>
        <d v="2024-02-15T00:00:00"/>
        <d v="2024-02-28T00:00:00"/>
      </sharedItems>
      <fieldGroup par="26" base="13">
        <rangePr groupBy="days" startDate="2023-02-14T00:00:00" endDate="2024-02-29T00:00:00"/>
        <groupItems count="368">
          <s v="&lt;2023/02/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2/29"/>
        </groupItems>
      </fieldGroup>
    </cacheField>
    <cacheField name="Start Date Year" numFmtId="1">
      <sharedItems containsSemiMixedTypes="0" containsString="0" containsNumber="1" containsInteger="1" minValue="2023" maxValue="2024" count="2">
        <n v="2023"/>
        <n v="2024"/>
      </sharedItems>
    </cacheField>
    <cacheField name="Start Date Month" numFmtId="164">
      <sharedItems containsSemiMixedTypes="0" containsString="0" containsNumber="1" containsInteger="1" minValue="1" maxValue="12"/>
    </cacheField>
    <cacheField name="Start Date Day" numFmtId="164">
      <sharedItems containsSemiMixedTypes="0" containsString="0" containsNumber="1" containsInteger="1" minValue="1" maxValue="31"/>
    </cacheField>
    <cacheField name="END DATE" numFmtId="167">
      <sharedItems containsSemiMixedTypes="0" containsNonDate="0" containsDate="1" containsString="0" minDate="2023-05-31T00:00:00" maxDate="2025-02-22T00:00:00"/>
    </cacheField>
    <cacheField name="End Date Year" numFmtId="1">
      <sharedItems containsSemiMixedTypes="0" containsString="0" containsNumber="1" containsInteger="1" minValue="2023" maxValue="2025"/>
    </cacheField>
    <cacheField name="End Date Month" numFmtId="164">
      <sharedItems containsSemiMixedTypes="0" containsString="0" containsNumber="1" containsInteger="1" minValue="1" maxValue="12"/>
    </cacheField>
    <cacheField name="End Date Day" numFmtId="164">
      <sharedItems containsSemiMixedTypes="0" containsString="0" containsNumber="1" containsInteger="1" minValue="4" maxValue="31"/>
    </cacheField>
    <cacheField name="Weight by Staff" numFmtId="10">
      <sharedItems containsSemiMixedTypes="0" containsString="0" containsNumber="1" minValue="5.0581689428426911E-4" maxValue="0.46939807789580174"/>
    </cacheField>
    <cacheField name="Weight by Dependents" numFmtId="10">
      <sharedItems containsSemiMixedTypes="0" containsString="0" containsNumber="1" minValue="0" maxValue="0.42336548767416937"/>
    </cacheField>
    <cacheField name="Weight by Total Lives" numFmtId="10">
      <sharedItems containsSemiMixedTypes="0" containsString="0" containsNumber="1" minValue="3.8535645472061658E-4" maxValue="0.3576107899807322"/>
    </cacheField>
    <cacheField name="Average Number of Dependents per Employee" numFmtId="2">
      <sharedItems containsSemiMixedTypes="0" containsString="0" containsNumber="1" minValue="0" maxValue="4"/>
    </cacheField>
    <cacheField name="Client Segment" numFmtId="0">
      <sharedItems count="6">
        <s v="Tigers"/>
        <s v="Hares"/>
        <s v="Whales"/>
        <s v="Elephants"/>
        <e v="#N/A" u="1"/>
        <s v="University" u="1"/>
      </sharedItems>
    </cacheField>
    <cacheField name="Months" numFmtId="0" databaseField="0">
      <fieldGroup base="13">
        <rangePr groupBy="months" startDate="2023-02-14T00:00:00" endDate="2024-02-29T00:00:00"/>
        <groupItems count="14">
          <s v="&lt;2023/02/14"/>
          <s v="Jan"/>
          <s v="Feb"/>
          <s v="Mar"/>
          <s v="Apr"/>
          <s v="May"/>
          <s v="Jun"/>
          <s v="Jul"/>
          <s v="Aug"/>
          <s v="Sep"/>
          <s v="Oct"/>
          <s v="Nov"/>
          <s v="Dec"/>
          <s v="&gt;2024/02/29"/>
        </groupItems>
      </fieldGroup>
    </cacheField>
    <cacheField name="Average Insured Premium" numFmtId="0" formula="'Total insured Premium'/'No. of Principal Member'" databaseField="0"/>
    <cacheField name="Median Principal No." numFmtId="0" formula=" MEDIAN('No. of Principal Member')" databaseField="0"/>
  </cacheFields>
  <extLst>
    <ext xmlns:x14="http://schemas.microsoft.com/office/spreadsheetml/2009/9/main" uri="{725AE2AE-9491-48be-B2B4-4EB974FC3084}">
      <x14:pivotCacheDefinition pivotCacheId="613736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Insured"/>
    <x v="0"/>
    <n v="22496088"/>
    <n v="1124804.4000000001"/>
    <n v="285000"/>
    <n v="23905892.399999999"/>
    <n v="0"/>
    <n v="23905892.399999999"/>
    <n v="771157.81935483869"/>
    <n v="31"/>
    <n v="17"/>
    <n v="48"/>
    <x v="0"/>
    <x v="0"/>
    <n v="2"/>
    <n v="14"/>
    <d v="2024-02-13T00:00:00"/>
    <n v="2024"/>
    <n v="2"/>
    <n v="13"/>
    <n v="1.5680323722812341E-2"/>
    <n v="1.8220793140407289E-2"/>
    <n v="1.8497109826589597E-2"/>
    <n v="0.54838709677419351"/>
    <x v="0"/>
  </r>
  <r>
    <x v="1"/>
    <s v="Insured"/>
    <x v="1"/>
    <n v="8621293"/>
    <n v="431064.65"/>
    <n v="480000"/>
    <n v="9532357.6500000004"/>
    <n v="0"/>
    <n v="9532357.6500000004"/>
    <n v="198590.78437500002"/>
    <n v="48"/>
    <n v="0"/>
    <n v="48"/>
    <x v="1"/>
    <x v="0"/>
    <n v="3"/>
    <n v="2"/>
    <d v="2023-05-31T00:00:00"/>
    <n v="2023"/>
    <n v="5"/>
    <n v="31"/>
    <n v="2.4279210925644917E-2"/>
    <n v="0"/>
    <n v="1.8497109826589597E-2"/>
    <n v="0"/>
    <x v="0"/>
  </r>
  <r>
    <x v="2"/>
    <s v="Insured"/>
    <x v="0"/>
    <n v="40164891.877313644"/>
    <n v="2008244.5938656824"/>
    <n v="0"/>
    <n v="42173136.471179329"/>
    <n v="0"/>
    <n v="42173136.471179329"/>
    <n v="980770.61560882162"/>
    <n v="43"/>
    <n v="90"/>
    <n v="133"/>
    <x v="2"/>
    <x v="0"/>
    <n v="3"/>
    <n v="7"/>
    <d v="2024-03-06T00:00:00"/>
    <n v="2024"/>
    <n v="3"/>
    <n v="6"/>
    <n v="2.175012645422357E-2"/>
    <n v="9.6463022508038579E-2"/>
    <n v="5.1252408477842001E-2"/>
    <n v="2.0930232558139537"/>
    <x v="0"/>
  </r>
  <r>
    <x v="3"/>
    <s v="Insured"/>
    <x v="0"/>
    <n v="3790302"/>
    <n v="189515.1"/>
    <n v="70000"/>
    <n v="4049817.1"/>
    <n v="0"/>
    <n v="4049817.1"/>
    <n v="1012454.275"/>
    <n v="4"/>
    <n v="3"/>
    <n v="7"/>
    <x v="3"/>
    <x v="0"/>
    <n v="3"/>
    <n v="28"/>
    <d v="2024-03-27T00:00:00"/>
    <n v="2024"/>
    <n v="3"/>
    <n v="27"/>
    <n v="2.0232675771370764E-3"/>
    <n v="3.2154340836012861E-3"/>
    <n v="2.6974951830443161E-3"/>
    <n v="0.75"/>
    <x v="1"/>
  </r>
  <r>
    <x v="4"/>
    <s v="Fund"/>
    <x v="0"/>
    <n v="2085252"/>
    <n v="104262.6"/>
    <n v="90000"/>
    <n v="2279514.6"/>
    <n v="3975519"/>
    <n v="6255033.5999999996"/>
    <n v="390939.6"/>
    <n v="16"/>
    <n v="2"/>
    <n v="18"/>
    <x v="4"/>
    <x v="0"/>
    <n v="4"/>
    <n v="14"/>
    <d v="2024-04-13T00:00:00"/>
    <n v="2024"/>
    <n v="4"/>
    <n v="13"/>
    <n v="8.0930703085483058E-3"/>
    <n v="2.1436227224008574E-3"/>
    <n v="6.9364161849710983E-3"/>
    <n v="0.125"/>
    <x v="1"/>
  </r>
  <r>
    <x v="5"/>
    <s v="Insured"/>
    <x v="2"/>
    <n v="2284972"/>
    <n v="114248.6"/>
    <n v="40000"/>
    <n v="2439220.6"/>
    <n v="0"/>
    <n v="2439220.6"/>
    <n v="609805.15"/>
    <n v="4"/>
    <n v="0"/>
    <n v="4"/>
    <x v="5"/>
    <x v="0"/>
    <n v="5"/>
    <n v="1"/>
    <d v="2024-04-30T00:00:00"/>
    <n v="2024"/>
    <n v="4"/>
    <n v="30"/>
    <n v="2.0232675771370764E-3"/>
    <n v="0"/>
    <n v="1.5414258188824663E-3"/>
    <n v="0"/>
    <x v="1"/>
  </r>
  <r>
    <x v="6"/>
    <s v="Fund"/>
    <x v="2"/>
    <n v="4728009"/>
    <n v="236400.45"/>
    <n v="485000"/>
    <n v="5449409.4500000002"/>
    <n v="6242034.5499999998"/>
    <n v="11691444"/>
    <n v="334041.25714285712"/>
    <n v="35"/>
    <n v="62"/>
    <n v="97"/>
    <x v="6"/>
    <x v="0"/>
    <n v="5"/>
    <n v="25"/>
    <d v="2024-05-24T00:00:00"/>
    <n v="2024"/>
    <n v="5"/>
    <n v="24"/>
    <n v="1.7703591299949417E-2"/>
    <n v="6.6452304394426578E-2"/>
    <n v="3.7379576107899805E-2"/>
    <n v="1.7714285714285714"/>
    <x v="0"/>
  </r>
  <r>
    <x v="7"/>
    <s v="Insured"/>
    <x v="0"/>
    <n v="464879"/>
    <n v="23243.95"/>
    <n v="10000"/>
    <n v="498122.95"/>
    <n v="0"/>
    <n v="498122.95"/>
    <n v="498122.95"/>
    <n v="1"/>
    <n v="0"/>
    <n v="1"/>
    <x v="7"/>
    <x v="0"/>
    <n v="7"/>
    <n v="7"/>
    <d v="2024-07-06T00:00:00"/>
    <n v="2024"/>
    <n v="7"/>
    <n v="6"/>
    <n v="5.0581689428426911E-4"/>
    <n v="0"/>
    <n v="3.8535645472061658E-4"/>
    <n v="0"/>
    <x v="1"/>
  </r>
  <r>
    <x v="8"/>
    <s v="Insured"/>
    <x v="0"/>
    <n v="478944"/>
    <n v="23947.200000000001"/>
    <n v="10000"/>
    <n v="512891.2"/>
    <n v="0"/>
    <n v="512891.2"/>
    <n v="512891.2"/>
    <n v="1"/>
    <n v="0"/>
    <n v="1"/>
    <x v="8"/>
    <x v="0"/>
    <n v="7"/>
    <n v="14"/>
    <d v="2024-07-13T00:00:00"/>
    <n v="2024"/>
    <n v="7"/>
    <n v="13"/>
    <n v="5.0581689428426911E-4"/>
    <n v="0"/>
    <n v="3.8535645472061658E-4"/>
    <n v="0"/>
    <x v="1"/>
  </r>
  <r>
    <x v="9"/>
    <s v="Insured"/>
    <x v="1"/>
    <n v="5876347"/>
    <n v="293817.35000000003"/>
    <n v="160000"/>
    <n v="6330164.3499999996"/>
    <n v="0"/>
    <n v="6330164.3499999996"/>
    <n v="1266032.8699999999"/>
    <n v="5"/>
    <n v="11"/>
    <n v="16"/>
    <x v="9"/>
    <x v="0"/>
    <n v="6"/>
    <n v="15"/>
    <d v="2024-06-14T00:00:00"/>
    <n v="2024"/>
    <n v="6"/>
    <n v="14"/>
    <n v="2.5290844714213456E-3"/>
    <n v="1.1789924973204717E-2"/>
    <n v="6.1657032755298652E-3"/>
    <n v="2.2000000000000002"/>
    <x v="1"/>
  </r>
  <r>
    <x v="10"/>
    <s v="Insured"/>
    <x v="1"/>
    <n v="20830183"/>
    <n v="1041509.15"/>
    <n v="600000"/>
    <n v="22471692.149999999"/>
    <n v="0"/>
    <n v="22471692.149999999"/>
    <n v="1123584.6074999999"/>
    <n v="20"/>
    <n v="40"/>
    <n v="60"/>
    <x v="10"/>
    <x v="0"/>
    <n v="6"/>
    <n v="18"/>
    <d v="2024-06-17T00:00:00"/>
    <n v="2024"/>
    <n v="6"/>
    <n v="17"/>
    <n v="1.0116337885685382E-2"/>
    <n v="4.2872454448017148E-2"/>
    <n v="2.3121387283236993E-2"/>
    <n v="2"/>
    <x v="1"/>
  </r>
  <r>
    <x v="11"/>
    <s v="Insured"/>
    <x v="1"/>
    <n v="1983154"/>
    <n v="99157.700000000012"/>
    <n v="80000"/>
    <n v="2162311.7000000002"/>
    <n v="0"/>
    <n v="2162311.7000000002"/>
    <n v="1081155.8500000001"/>
    <n v="2"/>
    <n v="6"/>
    <n v="8"/>
    <x v="11"/>
    <x v="0"/>
    <n v="6"/>
    <n v="20"/>
    <d v="2024-06-19T00:00:00"/>
    <n v="2024"/>
    <n v="6"/>
    <n v="19"/>
    <n v="1.0116337885685382E-3"/>
    <n v="6.4308681672025723E-3"/>
    <n v="3.0828516377649326E-3"/>
    <n v="3"/>
    <x v="1"/>
  </r>
  <r>
    <x v="12"/>
    <s v="Insured"/>
    <x v="2"/>
    <n v="18581056"/>
    <n v="929052.8"/>
    <n v="240000"/>
    <n v="19750108.800000001"/>
    <n v="0"/>
    <n v="19750108.800000001"/>
    <n v="1316673.9200000002"/>
    <n v="15"/>
    <n v="9"/>
    <n v="24"/>
    <x v="12"/>
    <x v="0"/>
    <n v="7"/>
    <n v="22"/>
    <d v="2024-07-21T00:00:00"/>
    <n v="2024"/>
    <n v="7"/>
    <n v="21"/>
    <n v="7.5872534142640367E-3"/>
    <n v="9.6463022508038593E-3"/>
    <n v="9.2485549132947983E-3"/>
    <n v="0.6"/>
    <x v="1"/>
  </r>
  <r>
    <x v="13"/>
    <s v="Insured"/>
    <x v="1"/>
    <n v="5862972"/>
    <n v="293148.60000000003"/>
    <n v="220000"/>
    <n v="6376120.5999999996"/>
    <n v="0"/>
    <n v="6376120.5999999996"/>
    <n v="1062686.7666666666"/>
    <n v="6"/>
    <n v="16"/>
    <n v="22"/>
    <x v="13"/>
    <x v="0"/>
    <n v="8"/>
    <n v="7"/>
    <d v="2024-08-06T00:00:00"/>
    <n v="2024"/>
    <n v="8"/>
    <n v="6"/>
    <n v="3.0349013657056147E-3"/>
    <n v="1.7148981779206859E-2"/>
    <n v="8.4778420038535644E-3"/>
    <n v="2.6666666666666665"/>
    <x v="1"/>
  </r>
  <r>
    <x v="14"/>
    <s v="Insured"/>
    <x v="0"/>
    <n v="544214"/>
    <n v="27210.7"/>
    <n v="10000"/>
    <n v="581424.69999999995"/>
    <n v="0"/>
    <n v="581424.69999999995"/>
    <n v="581424.69999999995"/>
    <n v="1"/>
    <n v="0"/>
    <n v="1"/>
    <x v="14"/>
    <x v="0"/>
    <n v="8"/>
    <n v="11"/>
    <d v="2024-08-10T00:00:00"/>
    <n v="2024"/>
    <n v="8"/>
    <n v="10"/>
    <n v="5.0581689428426911E-4"/>
    <n v="0"/>
    <n v="3.8535645472061658E-4"/>
    <n v="0"/>
    <x v="1"/>
  </r>
  <r>
    <x v="15"/>
    <s v="Insured"/>
    <x v="1"/>
    <n v="13176847"/>
    <n v="658842.35000000009"/>
    <n v="370000"/>
    <n v="14205689.35"/>
    <n v="0"/>
    <n v="14205689.35"/>
    <n v="789204.96388888883"/>
    <n v="18"/>
    <n v="19"/>
    <n v="37"/>
    <x v="15"/>
    <x v="0"/>
    <n v="8"/>
    <n v="15"/>
    <d v="2024-08-14T00:00:00"/>
    <n v="2024"/>
    <n v="8"/>
    <n v="14"/>
    <n v="9.104704097116844E-3"/>
    <n v="2.0364415862808145E-2"/>
    <n v="1.4258188824662813E-2"/>
    <n v="1.0555555555555556"/>
    <x v="1"/>
  </r>
  <r>
    <x v="16"/>
    <s v="Insured"/>
    <x v="0"/>
    <n v="322358182"/>
    <n v="16117909.100000001"/>
    <n v="2320000"/>
    <n v="340796091.10000002"/>
    <n v="0"/>
    <n v="340796091.10000002"/>
    <n v="367237.16713362071"/>
    <n v="928"/>
    <n v="0"/>
    <n v="928"/>
    <x v="16"/>
    <x v="0"/>
    <n v="9"/>
    <n v="1"/>
    <d v="2024-08-31T00:00:00"/>
    <n v="2024"/>
    <n v="8"/>
    <n v="31"/>
    <n v="0.46939807789580174"/>
    <n v="0"/>
    <n v="0.3576107899807322"/>
    <n v="0"/>
    <x v="2"/>
  </r>
  <r>
    <x v="17"/>
    <s v="Insured"/>
    <x v="2"/>
    <n v="14687764"/>
    <n v="734388.20000000007"/>
    <n v="450000"/>
    <n v="15872152.199999999"/>
    <n v="0"/>
    <n v="15872152.199999999"/>
    <n v="755816.77142857143"/>
    <n v="21"/>
    <n v="24"/>
    <n v="45"/>
    <x v="16"/>
    <x v="0"/>
    <n v="9"/>
    <n v="1"/>
    <d v="2024-08-31T00:00:00"/>
    <n v="2024"/>
    <n v="8"/>
    <n v="31"/>
    <n v="1.0622154779969651E-2"/>
    <n v="2.5723472668810289E-2"/>
    <n v="1.7341040462427744E-2"/>
    <n v="1.1428571428571428"/>
    <x v="1"/>
  </r>
  <r>
    <x v="18"/>
    <s v="Insured"/>
    <x v="0"/>
    <n v="2669709"/>
    <n v="133485.45000000001"/>
    <n v="70000"/>
    <n v="2873194.45"/>
    <n v="0"/>
    <n v="2873194.45"/>
    <n v="718298.61250000005"/>
    <n v="4"/>
    <n v="3"/>
    <n v="7"/>
    <x v="16"/>
    <x v="0"/>
    <n v="9"/>
    <n v="1"/>
    <d v="2024-08-31T00:00:00"/>
    <n v="2024"/>
    <n v="8"/>
    <n v="31"/>
    <n v="2.0232675771370764E-3"/>
    <n v="3.2154340836012861E-3"/>
    <n v="2.6974951830443161E-3"/>
    <n v="0.75"/>
    <x v="1"/>
  </r>
  <r>
    <x v="19"/>
    <s v="Insured"/>
    <x v="0"/>
    <n v="2763650"/>
    <n v="138182.5"/>
    <n v="170000"/>
    <n v="3071832.5"/>
    <n v="0"/>
    <n v="3071832.5"/>
    <n v="341314.72222222225"/>
    <n v="9"/>
    <n v="8"/>
    <n v="17"/>
    <x v="17"/>
    <x v="0"/>
    <n v="9"/>
    <n v="25"/>
    <d v="2024-09-24T00:00:00"/>
    <n v="2024"/>
    <n v="9"/>
    <n v="24"/>
    <n v="4.552352048558422E-3"/>
    <n v="8.5744908896034297E-3"/>
    <n v="6.5510597302504813E-3"/>
    <n v="0.88888888888888884"/>
    <x v="1"/>
  </r>
  <r>
    <x v="20"/>
    <s v="Insured"/>
    <x v="0"/>
    <n v="150324600"/>
    <n v="7516230"/>
    <n v="1434000"/>
    <n v="159274830"/>
    <n v="0"/>
    <n v="159274830"/>
    <n v="403227.41772151901"/>
    <n v="395"/>
    <n v="395"/>
    <n v="475"/>
    <x v="18"/>
    <x v="0"/>
    <n v="10"/>
    <n v="5"/>
    <d v="2024-10-04T00:00:00"/>
    <n v="2024"/>
    <n v="10"/>
    <n v="4"/>
    <n v="0.19979767324228628"/>
    <n v="0.42336548767416937"/>
    <n v="0.18304431599229287"/>
    <n v="1"/>
    <x v="3"/>
  </r>
  <r>
    <x v="21"/>
    <s v="Insured "/>
    <x v="2"/>
    <n v="23189154"/>
    <n v="1159457.7"/>
    <n v="340000"/>
    <n v="24688611.699999999"/>
    <n v="0"/>
    <n v="24688611.699999999"/>
    <n v="1234430.585"/>
    <n v="20"/>
    <n v="48"/>
    <n v="68"/>
    <x v="19"/>
    <x v="0"/>
    <n v="10"/>
    <n v="7"/>
    <d v="2024-10-06T00:00:00"/>
    <n v="2024"/>
    <n v="10"/>
    <n v="6"/>
    <n v="1.0116337885685382E-2"/>
    <n v="5.1446945337620578E-2"/>
    <n v="2.6204238921001925E-2"/>
    <n v="2.4"/>
    <x v="1"/>
  </r>
  <r>
    <x v="22"/>
    <s v="Insured"/>
    <x v="0"/>
    <n v="1555168"/>
    <n v="77758.400000000009"/>
    <n v="30000"/>
    <n v="1662926.4"/>
    <n v="0"/>
    <n v="1662926.4"/>
    <n v="1662926.4"/>
    <n v="1"/>
    <n v="2"/>
    <n v="3"/>
    <x v="19"/>
    <x v="0"/>
    <n v="10"/>
    <n v="7"/>
    <d v="2024-10-06T00:00:00"/>
    <n v="2024"/>
    <n v="10"/>
    <n v="6"/>
    <n v="5.0581689428426911E-4"/>
    <n v="2.1436227224008574E-3"/>
    <n v="1.1560693641618498E-3"/>
    <n v="2"/>
    <x v="1"/>
  </r>
  <r>
    <x v="23"/>
    <s v="Insured"/>
    <x v="0"/>
    <n v="1463279"/>
    <n v="73163.95"/>
    <n v="40000"/>
    <n v="1576442.95"/>
    <n v="0"/>
    <n v="1576442.95"/>
    <n v="1576442.95"/>
    <n v="1"/>
    <n v="3"/>
    <n v="4"/>
    <x v="20"/>
    <x v="0"/>
    <n v="10"/>
    <n v="19"/>
    <d v="2024-10-18T00:00:00"/>
    <n v="2024"/>
    <n v="10"/>
    <n v="18"/>
    <n v="5.0581689428426911E-4"/>
    <n v="3.2154340836012861E-3"/>
    <n v="1.5414258188824663E-3"/>
    <n v="3"/>
    <x v="1"/>
  </r>
  <r>
    <x v="24"/>
    <s v="Insured"/>
    <x v="0"/>
    <n v="1888962"/>
    <n v="94448.1"/>
    <n v="50000"/>
    <n v="2033410.1"/>
    <n v="0"/>
    <n v="2033410.1"/>
    <n v="677803.3666666667"/>
    <n v="3"/>
    <n v="2"/>
    <n v="5"/>
    <x v="21"/>
    <x v="0"/>
    <n v="10"/>
    <n v="24"/>
    <d v="2024-10-23T00:00:00"/>
    <n v="2024"/>
    <n v="10"/>
    <n v="23"/>
    <n v="1.5174506828528073E-3"/>
    <n v="2.1436227224008574E-3"/>
    <n v="1.9267822736030828E-3"/>
    <n v="0.66666666666666663"/>
    <x v="1"/>
  </r>
  <r>
    <x v="25"/>
    <s v="Insured"/>
    <x v="0"/>
    <n v="2468070"/>
    <n v="123403.5"/>
    <n v="70000"/>
    <n v="2661473.5"/>
    <n v="0"/>
    <n v="2661473.5"/>
    <n v="532294.69999999995"/>
    <n v="5"/>
    <n v="2"/>
    <n v="7"/>
    <x v="22"/>
    <x v="0"/>
    <n v="10"/>
    <n v="25"/>
    <d v="2024-10-24T00:00:00"/>
    <n v="2024"/>
    <n v="10"/>
    <n v="24"/>
    <n v="2.5290844714213456E-3"/>
    <n v="2.1436227224008574E-3"/>
    <n v="2.6974951830443161E-3"/>
    <n v="0.4"/>
    <x v="1"/>
  </r>
  <r>
    <x v="26"/>
    <s v="Insured"/>
    <x v="1"/>
    <n v="4823725"/>
    <n v="241186.25"/>
    <n v="140000"/>
    <n v="5204911.25"/>
    <n v="0"/>
    <n v="5204911.25"/>
    <n v="1301227.8125"/>
    <n v="4"/>
    <n v="10"/>
    <n v="14"/>
    <x v="23"/>
    <x v="0"/>
    <n v="10"/>
    <n v="31"/>
    <d v="2024-10-30T00:00:00"/>
    <n v="2024"/>
    <n v="10"/>
    <n v="30"/>
    <n v="2.0232675771370764E-3"/>
    <n v="1.0718113612004287E-2"/>
    <n v="5.3949903660886322E-3"/>
    <n v="2.5"/>
    <x v="1"/>
  </r>
  <r>
    <x v="27"/>
    <s v="Insured"/>
    <x v="0"/>
    <n v="464822"/>
    <n v="23241.100000000002"/>
    <n v="10000"/>
    <n v="498063.1"/>
    <n v="0"/>
    <n v="498063.1"/>
    <n v="498063.1"/>
    <n v="1"/>
    <n v="0"/>
    <n v="1"/>
    <x v="24"/>
    <x v="0"/>
    <n v="11"/>
    <n v="14"/>
    <d v="2023-11-13T00:00:00"/>
    <n v="2023"/>
    <n v="11"/>
    <n v="13"/>
    <n v="5.0581689428426911E-4"/>
    <n v="0"/>
    <n v="3.8535645472061658E-4"/>
    <n v="0"/>
    <x v="1"/>
  </r>
  <r>
    <x v="28"/>
    <s v="Insured"/>
    <x v="0"/>
    <n v="12197238"/>
    <n v="609861.9"/>
    <n v="340000"/>
    <n v="13147099.9"/>
    <n v="0"/>
    <n v="13147099.9"/>
    <n v="876473.32666666666"/>
    <n v="15"/>
    <n v="19"/>
    <n v="34"/>
    <x v="25"/>
    <x v="0"/>
    <n v="11"/>
    <n v="16"/>
    <d v="2023-11-15T00:00:00"/>
    <n v="2023"/>
    <n v="11"/>
    <n v="15"/>
    <n v="7.5872534142640367E-3"/>
    <n v="2.0364415862808145E-2"/>
    <n v="1.3102119460500963E-2"/>
    <n v="1.2666666666666666"/>
    <x v="1"/>
  </r>
  <r>
    <x v="29"/>
    <s v="Insured"/>
    <x v="0"/>
    <n v="620086"/>
    <n v="31004.300000000003"/>
    <n v="10000"/>
    <n v="661090.30000000005"/>
    <n v="0"/>
    <n v="661090.30000000005"/>
    <n v="661090.30000000005"/>
    <n v="1"/>
    <n v="0"/>
    <n v="1"/>
    <x v="26"/>
    <x v="0"/>
    <n v="11"/>
    <n v="24"/>
    <d v="2023-11-23T00:00:00"/>
    <n v="2023"/>
    <n v="11"/>
    <n v="23"/>
    <n v="5.0581689428426911E-4"/>
    <n v="0"/>
    <n v="3.8535645472061658E-4"/>
    <n v="0"/>
    <x v="1"/>
  </r>
  <r>
    <x v="30"/>
    <s v="Insured"/>
    <x v="0"/>
    <n v="1150690"/>
    <n v="57534.5"/>
    <n v="30000"/>
    <n v="1238224.5"/>
    <n v="0"/>
    <n v="1238224.5"/>
    <n v="1238224.5"/>
    <n v="1"/>
    <n v="2"/>
    <n v="3"/>
    <x v="27"/>
    <x v="0"/>
    <n v="11"/>
    <n v="17"/>
    <d v="2023-11-16T00:00:00"/>
    <n v="2023"/>
    <n v="11"/>
    <n v="16"/>
    <n v="5.0581689428426911E-4"/>
    <n v="2.1436227224008574E-3"/>
    <n v="1.1560693641618498E-3"/>
    <n v="2"/>
    <x v="1"/>
  </r>
  <r>
    <x v="31"/>
    <s v="Insured"/>
    <x v="0"/>
    <n v="4247843"/>
    <n v="212392.15000000002"/>
    <n v="130000"/>
    <n v="4590235.1500000004"/>
    <n v="0"/>
    <n v="4590235.1500000004"/>
    <n v="918047.03"/>
    <n v="5"/>
    <n v="8"/>
    <n v="13"/>
    <x v="28"/>
    <x v="0"/>
    <n v="12"/>
    <n v="12"/>
    <d v="2023-12-11T00:00:00"/>
    <n v="2023"/>
    <n v="12"/>
    <n v="11"/>
    <n v="2.5290844714213456E-3"/>
    <n v="8.5744908896034297E-3"/>
    <n v="5.0096339113680152E-3"/>
    <n v="1.6"/>
    <x v="1"/>
  </r>
  <r>
    <x v="32"/>
    <s v="Insured"/>
    <x v="0"/>
    <n v="457803"/>
    <n v="22890.15"/>
    <n v="10000"/>
    <n v="490693.15"/>
    <n v="0"/>
    <n v="490693.15"/>
    <n v="490693.15"/>
    <n v="1"/>
    <n v="0"/>
    <n v="1"/>
    <x v="29"/>
    <x v="0"/>
    <n v="12"/>
    <n v="13"/>
    <d v="2023-12-12T00:00:00"/>
    <n v="2023"/>
    <n v="12"/>
    <n v="12"/>
    <n v="5.0581689428426911E-4"/>
    <n v="0"/>
    <n v="3.8535645472061658E-4"/>
    <n v="0"/>
    <x v="1"/>
  </r>
  <r>
    <x v="33"/>
    <s v="Insured"/>
    <x v="1"/>
    <n v="15702822"/>
    <n v="785141.10000000009"/>
    <n v="300000"/>
    <n v="16787963.100000001"/>
    <n v="0"/>
    <n v="16787963.100000001"/>
    <n v="1526178.4636363639"/>
    <n v="11"/>
    <n v="19"/>
    <n v="30"/>
    <x v="30"/>
    <x v="0"/>
    <n v="12"/>
    <n v="27"/>
    <d v="2023-12-26T00:00:00"/>
    <n v="2023"/>
    <n v="12"/>
    <n v="26"/>
    <n v="5.5639858371269602E-3"/>
    <n v="2.0364415862808145E-2"/>
    <n v="1.1560693641618497E-2"/>
    <n v="1.7272727272727273"/>
    <x v="1"/>
  </r>
  <r>
    <x v="34"/>
    <s v="Insured"/>
    <x v="0"/>
    <n v="1405258"/>
    <n v="70262.900000000009"/>
    <n v="30000"/>
    <n v="1505520.9"/>
    <n v="0"/>
    <n v="1505520.9"/>
    <n v="501840.3"/>
    <n v="3"/>
    <n v="0"/>
    <n v="3"/>
    <x v="31"/>
    <x v="1"/>
    <n v="1"/>
    <n v="1"/>
    <d v="2024-12-31T00:00:00"/>
    <n v="2024"/>
    <n v="12"/>
    <n v="31"/>
    <n v="1.5174506828528073E-3"/>
    <n v="0"/>
    <n v="1.1560693641618498E-3"/>
    <n v="0"/>
    <x v="1"/>
  </r>
  <r>
    <x v="35"/>
    <s v="Insured"/>
    <x v="0"/>
    <n v="1699519"/>
    <n v="84975.950000000012"/>
    <n v="40000"/>
    <n v="1824494.95"/>
    <n v="0"/>
    <n v="1824494.95"/>
    <n v="1824494.95"/>
    <n v="1"/>
    <n v="3"/>
    <n v="4"/>
    <x v="32"/>
    <x v="1"/>
    <n v="1"/>
    <n v="10"/>
    <d v="2025-01-09T00:00:00"/>
    <n v="2025"/>
    <n v="1"/>
    <n v="9"/>
    <n v="5.0581689428426911E-4"/>
    <n v="3.2154340836012861E-3"/>
    <n v="1.5414258188824663E-3"/>
    <n v="3"/>
    <x v="1"/>
  </r>
  <r>
    <x v="36"/>
    <s v="Insured"/>
    <x v="0"/>
    <n v="4272247"/>
    <n v="213612.35"/>
    <n v="140000"/>
    <n v="4625859.3499999996"/>
    <n v="0"/>
    <n v="4625859.3499999996"/>
    <n v="578232.41874999995"/>
    <n v="8"/>
    <n v="2"/>
    <n v="10"/>
    <x v="32"/>
    <x v="1"/>
    <n v="1"/>
    <n v="10"/>
    <d v="2025-01-09T00:00:00"/>
    <n v="2025"/>
    <n v="1"/>
    <n v="9"/>
    <n v="4.0465351542741529E-3"/>
    <n v="2.1436227224008574E-3"/>
    <n v="3.8535645472061657E-3"/>
    <n v="0.25"/>
    <x v="1"/>
  </r>
  <r>
    <x v="37"/>
    <s v="Insured"/>
    <x v="0"/>
    <n v="21256481"/>
    <n v="1062824.05"/>
    <n v="590000"/>
    <n v="22909305.050000001"/>
    <n v="0"/>
    <n v="22909305.050000001"/>
    <n v="1041332.0477272727"/>
    <n v="22"/>
    <n v="37"/>
    <n v="59"/>
    <x v="32"/>
    <x v="1"/>
    <n v="1"/>
    <n v="10"/>
    <d v="2025-01-09T00:00:00"/>
    <n v="2025"/>
    <n v="1"/>
    <n v="9"/>
    <n v="1.112797167425392E-2"/>
    <n v="3.965702036441586E-2"/>
    <n v="2.2736030828516378E-2"/>
    <n v="1.6818181818181819"/>
    <x v="1"/>
  </r>
  <r>
    <x v="38"/>
    <s v="Insured"/>
    <x v="0"/>
    <n v="2731792"/>
    <n v="136589.6"/>
    <n v="50000"/>
    <n v="2918381.6"/>
    <n v="0"/>
    <n v="2918381.6"/>
    <n v="2918381.6"/>
    <n v="1"/>
    <n v="4"/>
    <n v="5"/>
    <x v="33"/>
    <x v="1"/>
    <n v="1"/>
    <n v="13"/>
    <d v="2025-01-12T00:00:00"/>
    <n v="2025"/>
    <n v="1"/>
    <n v="12"/>
    <n v="5.0581689428426911E-4"/>
    <n v="4.2872454448017148E-3"/>
    <n v="1.9267822736030828E-3"/>
    <n v="4"/>
    <x v="1"/>
  </r>
  <r>
    <x v="39"/>
    <s v="Insured"/>
    <x v="0"/>
    <n v="457803"/>
    <n v="22890.15"/>
    <n v="10000"/>
    <n v="490693.15"/>
    <n v="0"/>
    <n v="490693.15"/>
    <n v="490693.15"/>
    <n v="1"/>
    <n v="0"/>
    <n v="1"/>
    <x v="34"/>
    <x v="1"/>
    <n v="1"/>
    <n v="25"/>
    <d v="2025-01-24T00:00:00"/>
    <n v="2025"/>
    <n v="1"/>
    <n v="24"/>
    <n v="5.0581689428426911E-4"/>
    <n v="0"/>
    <n v="3.8535645472061658E-4"/>
    <n v="0"/>
    <x v="1"/>
  </r>
  <r>
    <x v="40"/>
    <s v="Insured"/>
    <x v="0"/>
    <n v="2519484"/>
    <n v="125974.20000000001"/>
    <n v="70000"/>
    <n v="2715458.2"/>
    <n v="0"/>
    <n v="2715458.2"/>
    <n v="678864.55"/>
    <n v="4"/>
    <n v="3"/>
    <n v="7"/>
    <x v="31"/>
    <x v="1"/>
    <n v="1"/>
    <n v="1"/>
    <d v="2024-12-31T00:00:00"/>
    <n v="2024"/>
    <n v="12"/>
    <n v="31"/>
    <n v="2.0232675771370764E-3"/>
    <n v="3.2154340836012861E-3"/>
    <n v="2.6974951830443161E-3"/>
    <n v="0.75"/>
    <x v="1"/>
  </r>
  <r>
    <x v="41"/>
    <s v="Insured"/>
    <x v="0"/>
    <n v="582697"/>
    <n v="29134.850000000002"/>
    <n v="10000"/>
    <n v="621831.85"/>
    <n v="0"/>
    <n v="621831.85"/>
    <n v="621831.85"/>
    <n v="1"/>
    <n v="0"/>
    <n v="1"/>
    <x v="35"/>
    <x v="1"/>
    <n v="2"/>
    <n v="5"/>
    <d v="2025-02-04T00:00:00"/>
    <n v="2025"/>
    <n v="2"/>
    <n v="4"/>
    <n v="5.0581689428426911E-4"/>
    <n v="0"/>
    <n v="3.8535645472061658E-4"/>
    <n v="0"/>
    <x v="1"/>
  </r>
  <r>
    <x v="42"/>
    <s v="Insured"/>
    <x v="0"/>
    <n v="11388150"/>
    <n v="569407.5"/>
    <n v="200000"/>
    <n v="12157557.5"/>
    <n v="0"/>
    <n v="12157557.5"/>
    <n v="1350839.7222222222"/>
    <n v="9"/>
    <n v="11"/>
    <n v="20"/>
    <x v="36"/>
    <x v="1"/>
    <n v="2"/>
    <n v="6"/>
    <d v="2025-02-05T00:00:00"/>
    <n v="2025"/>
    <n v="2"/>
    <n v="5"/>
    <n v="4.552352048558422E-3"/>
    <n v="1.1789924973204717E-2"/>
    <n v="7.7071290944123313E-3"/>
    <n v="1.2222222222222223"/>
    <x v="1"/>
  </r>
  <r>
    <x v="43"/>
    <s v="Insured"/>
    <x v="0"/>
    <n v="2920457"/>
    <n v="146022.85"/>
    <n v="60000"/>
    <n v="3126479.85"/>
    <n v="0"/>
    <n v="3126479.85"/>
    <n v="521079.97500000003"/>
    <n v="6"/>
    <n v="0"/>
    <n v="6"/>
    <x v="37"/>
    <x v="1"/>
    <n v="2"/>
    <n v="9"/>
    <d v="2025-02-08T00:00:00"/>
    <n v="2025"/>
    <n v="2"/>
    <n v="8"/>
    <n v="3.0349013657056147E-3"/>
    <n v="0"/>
    <n v="2.3121387283236996E-3"/>
    <n v="0"/>
    <x v="1"/>
  </r>
  <r>
    <x v="44"/>
    <s v="Fund"/>
    <x v="0"/>
    <n v="9294478"/>
    <n v="464723.9"/>
    <n v="860000"/>
    <n v="10619201.9"/>
    <n v="10029600"/>
    <n v="20648801.899999999"/>
    <n v="135847.38092105262"/>
    <n v="152"/>
    <n v="0"/>
    <n v="152"/>
    <x v="37"/>
    <x v="1"/>
    <n v="2"/>
    <n v="9"/>
    <d v="2025-02-08T00:00:00"/>
    <n v="2025"/>
    <n v="2"/>
    <n v="8"/>
    <n v="7.6884167931208905E-2"/>
    <n v="0"/>
    <n v="5.8574181117533722E-2"/>
    <n v="0"/>
    <x v="3"/>
  </r>
  <r>
    <x v="0"/>
    <s v="Insured/Ren"/>
    <x v="0"/>
    <n v="25054849"/>
    <n v="1252742.45"/>
    <n v="335000"/>
    <n v="26642591.449999999"/>
    <n v="0"/>
    <n v="26642591.449999999"/>
    <n v="832580.98281249998"/>
    <n v="32"/>
    <n v="35"/>
    <n v="67"/>
    <x v="38"/>
    <x v="1"/>
    <n v="2"/>
    <n v="14"/>
    <d v="2025-02-13T00:00:00"/>
    <n v="2025"/>
    <n v="2"/>
    <n v="13"/>
    <n v="1.6186140617096612E-2"/>
    <n v="3.7513397642015008E-2"/>
    <n v="2.581888246628131E-2"/>
    <n v="1.09375"/>
    <x v="0"/>
  </r>
  <r>
    <x v="45"/>
    <s v="Insured"/>
    <x v="0"/>
    <n v="22693363"/>
    <n v="1134668.1500000001"/>
    <n v="720000"/>
    <n v="24548031.149999999"/>
    <n v="0"/>
    <n v="24548031.149999999"/>
    <n v="454593.16944444441"/>
    <n v="54"/>
    <n v="18"/>
    <n v="72"/>
    <x v="39"/>
    <x v="1"/>
    <n v="2"/>
    <n v="22"/>
    <d v="2025-02-21T00:00:00"/>
    <n v="2025"/>
    <n v="2"/>
    <n v="21"/>
    <n v="2.7314112291350532E-2"/>
    <n v="1.9292604501607719E-2"/>
    <n v="2.7745664739884393E-2"/>
    <n v="0.33333333333333331"/>
    <x v="0"/>
  </r>
  <r>
    <x v="46"/>
    <s v="Insured"/>
    <x v="0"/>
    <n v="673775"/>
    <n v="33688.75"/>
    <n v="10000"/>
    <n v="717463.75"/>
    <n v="0"/>
    <n v="717463.75"/>
    <n v="717463.75"/>
    <n v="1"/>
    <n v="0"/>
    <n v="1"/>
    <x v="40"/>
    <x v="1"/>
    <n v="2"/>
    <n v="15"/>
    <d v="2024-02-14T00:00:00"/>
    <n v="2024"/>
    <n v="2"/>
    <n v="14"/>
    <n v="5.0581689428426911E-4"/>
    <n v="0"/>
    <n v="3.8535645472061658E-4"/>
    <n v="0"/>
    <x v="1"/>
  </r>
  <r>
    <x v="47"/>
    <s v="Insured"/>
    <x v="0"/>
    <n v="2895313"/>
    <n v="144765.65"/>
    <n v="60000"/>
    <n v="3100078.65"/>
    <m/>
    <n v="3100078.65"/>
    <n v="516679.77499999997"/>
    <n v="6"/>
    <n v="0"/>
    <n v="6"/>
    <x v="41"/>
    <x v="1"/>
    <n v="2"/>
    <n v="28"/>
    <d v="2024-02-27T00:00:00"/>
    <n v="2024"/>
    <n v="2"/>
    <n v="27"/>
    <n v="3.0349013657056147E-3"/>
    <n v="0"/>
    <n v="2.3121387283236996E-3"/>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52A97-6DCA-B84F-BD0A-1B318E46F02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A2" firstHeaderRow="1" firstDataRow="1" firstDataCol="0"/>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Items count="1">
    <i/>
  </rowItems>
  <colItems count="1">
    <i/>
  </colItems>
  <dataFields count="1">
    <dataField name="Total Basic Premium" fld="3" baseField="0" baseItem="0" numFmtId="165"/>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0709D1-3C96-8F45-A265-C13E5A5751A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E15" firstHeaderRow="1" firstDataRow="2"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axis="axisCol" showAll="0" sortType="ascending">
      <items count="5">
        <item x="2"/>
        <item x="1"/>
        <item x="0"/>
        <item m="1" x="3"/>
        <item t="default"/>
      </items>
    </pivotField>
    <pivotField numFmtId="164" showAll="0"/>
    <pivotField numFmtId="164" showAll="0"/>
    <pivotField numFmtId="164" showAll="0"/>
    <pivotField dataField="1" numFmtId="164" showAll="0"/>
    <pivotField numFmtId="164" showAll="0"/>
    <pivotField numFmtId="164" showAll="0"/>
    <pivotField numFmtId="164"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2">
    <field x="26"/>
    <field x="13"/>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Monthly Total Insured Premium" fld="6" baseField="0" baseItem="0" numFmtId="166"/>
  </dataFields>
  <chartFormats count="19">
    <chartFormat chart="18" format="6" series="1">
      <pivotArea type="data" outline="0" fieldPosition="0">
        <references count="2">
          <reference field="4294967294" count="1" selected="0">
            <x v="0"/>
          </reference>
          <reference field="2" count="1" selected="0">
            <x v="0"/>
          </reference>
        </references>
      </pivotArea>
    </chartFormat>
    <chartFormat chart="18" format="7" series="1">
      <pivotArea type="data" outline="0" fieldPosition="0">
        <references count="2">
          <reference field="4294967294" count="1" selected="0">
            <x v="0"/>
          </reference>
          <reference field="2" count="1" selected="0">
            <x v="1"/>
          </reference>
        </references>
      </pivotArea>
    </chartFormat>
    <chartFormat chart="18" format="8" series="1">
      <pivotArea type="data" outline="0" fieldPosition="0">
        <references count="2">
          <reference field="4294967294" count="1" selected="0">
            <x v="0"/>
          </reference>
          <reference field="2" count="1" selected="0">
            <x v="2"/>
          </reference>
        </references>
      </pivotArea>
    </chartFormat>
    <chartFormat chart="20" format="12" series="1">
      <pivotArea type="data" outline="0" fieldPosition="0">
        <references count="2">
          <reference field="4294967294" count="1" selected="0">
            <x v="0"/>
          </reference>
          <reference field="2" count="1" selected="0">
            <x v="0"/>
          </reference>
        </references>
      </pivotArea>
    </chartFormat>
    <chartFormat chart="20" format="13" series="1">
      <pivotArea type="data" outline="0" fieldPosition="0">
        <references count="2">
          <reference field="4294967294" count="1" selected="0">
            <x v="0"/>
          </reference>
          <reference field="2" count="1" selected="0">
            <x v="1"/>
          </reference>
        </references>
      </pivotArea>
    </chartFormat>
    <chartFormat chart="20" format="14" series="1">
      <pivotArea type="data" outline="0" fieldPosition="0">
        <references count="2">
          <reference field="4294967294" count="1" selected="0">
            <x v="0"/>
          </reference>
          <reference field="2" count="1" selected="0">
            <x v="2"/>
          </reference>
        </references>
      </pivotArea>
    </chartFormat>
    <chartFormat chart="22" format="12" series="1">
      <pivotArea type="data" outline="0" fieldPosition="0">
        <references count="2">
          <reference field="4294967294" count="1" selected="0">
            <x v="0"/>
          </reference>
          <reference field="2" count="1" selected="0">
            <x v="0"/>
          </reference>
        </references>
      </pivotArea>
    </chartFormat>
    <chartFormat chart="22" format="13" series="1">
      <pivotArea type="data" outline="0" fieldPosition="0">
        <references count="2">
          <reference field="4294967294" count="1" selected="0">
            <x v="0"/>
          </reference>
          <reference field="2" count="1" selected="0">
            <x v="1"/>
          </reference>
        </references>
      </pivotArea>
    </chartFormat>
    <chartFormat chart="22" format="14" series="1">
      <pivotArea type="data" outline="0" fieldPosition="0">
        <references count="2">
          <reference field="4294967294" count="1" selected="0">
            <x v="0"/>
          </reference>
          <reference field="2" count="1" selected="0">
            <x v="2"/>
          </reference>
        </references>
      </pivotArea>
    </chartFormat>
    <chartFormat chart="24" format="12" series="1">
      <pivotArea type="data" outline="0" fieldPosition="0">
        <references count="2">
          <reference field="4294967294" count="1" selected="0">
            <x v="0"/>
          </reference>
          <reference field="2" count="1" selected="0">
            <x v="0"/>
          </reference>
        </references>
      </pivotArea>
    </chartFormat>
    <chartFormat chart="24" format="13" series="1">
      <pivotArea type="data" outline="0" fieldPosition="0">
        <references count="2">
          <reference field="4294967294" count="1" selected="0">
            <x v="0"/>
          </reference>
          <reference field="2" count="1" selected="0">
            <x v="1"/>
          </reference>
        </references>
      </pivotArea>
    </chartFormat>
    <chartFormat chart="24" format="14" series="1">
      <pivotArea type="data" outline="0" fieldPosition="0">
        <references count="2">
          <reference field="4294967294" count="1" selected="0">
            <x v="0"/>
          </reference>
          <reference field="2" count="1" selected="0">
            <x v="2"/>
          </reference>
        </references>
      </pivotArea>
    </chartFormat>
    <chartFormat chart="26" format="12" series="1">
      <pivotArea type="data" outline="0" fieldPosition="0">
        <references count="2">
          <reference field="4294967294" count="1" selected="0">
            <x v="0"/>
          </reference>
          <reference field="2" count="1" selected="0">
            <x v="0"/>
          </reference>
        </references>
      </pivotArea>
    </chartFormat>
    <chartFormat chart="26" format="13" series="1">
      <pivotArea type="data" outline="0" fieldPosition="0">
        <references count="2">
          <reference field="4294967294" count="1" selected="0">
            <x v="0"/>
          </reference>
          <reference field="2" count="1" selected="0">
            <x v="1"/>
          </reference>
        </references>
      </pivotArea>
    </chartFormat>
    <chartFormat chart="26" format="14" series="1">
      <pivotArea type="data" outline="0" fieldPosition="0">
        <references count="2">
          <reference field="4294967294" count="1" selected="0">
            <x v="0"/>
          </reference>
          <reference field="2" count="1" selected="0">
            <x v="2"/>
          </reference>
        </references>
      </pivotArea>
    </chartFormat>
    <chartFormat chart="24" format="15" series="1">
      <pivotArea type="data" outline="0" fieldPosition="0">
        <references count="2">
          <reference field="4294967294" count="1" selected="0">
            <x v="0"/>
          </reference>
          <reference field="2" count="1" selected="0">
            <x v="3"/>
          </reference>
        </references>
      </pivotArea>
    </chartFormat>
    <chartFormat chart="18" format="9" series="1">
      <pivotArea type="data" outline="0" fieldPosition="0">
        <references count="2">
          <reference field="4294967294" count="1" selected="0">
            <x v="0"/>
          </reference>
          <reference field="2" count="1" selected="0">
            <x v="3"/>
          </reference>
        </references>
      </pivotArea>
    </chartFormat>
    <chartFormat chart="18" format="10"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C07605-88E7-0E4F-BD44-DBBB405A0FC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E15" firstHeaderRow="1" firstDataRow="2"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axis="axisCol" showAll="0" sortType="ascending">
      <items count="5">
        <item x="2"/>
        <item x="1"/>
        <item x="0"/>
        <item m="1" x="3"/>
        <item t="default"/>
      </items>
    </pivotField>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2">
    <field x="26"/>
    <field x="13"/>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Total lives" fld="12" baseField="0" baseItem="0"/>
  </dataFields>
  <chartFormats count="13">
    <chartFormat chart="26" format="15" series="1">
      <pivotArea type="data" outline="0" fieldPosition="0">
        <references count="1">
          <reference field="2" count="1" selected="0">
            <x v="0"/>
          </reference>
        </references>
      </pivotArea>
    </chartFormat>
    <chartFormat chart="26" format="16" series="1">
      <pivotArea type="data" outline="0" fieldPosition="0">
        <references count="1">
          <reference field="2" count="1" selected="0">
            <x v="1"/>
          </reference>
        </references>
      </pivotArea>
    </chartFormat>
    <chartFormat chart="26" format="17" series="1">
      <pivotArea type="data" outline="0" fieldPosition="0">
        <references count="1">
          <reference field="2" count="1" selected="0">
            <x v="2"/>
          </reference>
        </references>
      </pivotArea>
    </chartFormat>
    <chartFormat chart="26" format="18" series="1">
      <pivotArea type="data" outline="0" fieldPosition="0">
        <references count="2">
          <reference field="4294967294" count="1" selected="0">
            <x v="0"/>
          </reference>
          <reference field="2" count="1" selected="0">
            <x v="2"/>
          </reference>
        </references>
      </pivotArea>
    </chartFormat>
    <chartFormat chart="26" format="19" series="1">
      <pivotArea type="data" outline="0" fieldPosition="0">
        <references count="2">
          <reference field="4294967294" count="1" selected="0">
            <x v="0"/>
          </reference>
          <reference field="2" count="1" selected="0">
            <x v="1"/>
          </reference>
        </references>
      </pivotArea>
    </chartFormat>
    <chartFormat chart="28" format="23" series="1">
      <pivotArea type="data" outline="0" fieldPosition="0">
        <references count="2">
          <reference field="4294967294" count="1" selected="0">
            <x v="0"/>
          </reference>
          <reference field="2" count="1" selected="0">
            <x v="0"/>
          </reference>
        </references>
      </pivotArea>
    </chartFormat>
    <chartFormat chart="28" format="24" series="1">
      <pivotArea type="data" outline="0" fieldPosition="0">
        <references count="2">
          <reference field="4294967294" count="1" selected="0">
            <x v="0"/>
          </reference>
          <reference field="2" count="1" selected="0">
            <x v="1"/>
          </reference>
        </references>
      </pivotArea>
    </chartFormat>
    <chartFormat chart="28" format="25" series="1">
      <pivotArea type="data" outline="0" fieldPosition="0">
        <references count="2">
          <reference field="4294967294" count="1" selected="0">
            <x v="0"/>
          </reference>
          <reference field="2" count="1" selected="0">
            <x v="2"/>
          </reference>
        </references>
      </pivotArea>
    </chartFormat>
    <chartFormat chart="26" format="20" series="1">
      <pivotArea type="data" outline="0" fieldPosition="0">
        <references count="2">
          <reference field="4294967294" count="1" selected="0">
            <x v="0"/>
          </reference>
          <reference field="2" count="1" selected="0">
            <x v="0"/>
          </reference>
        </references>
      </pivotArea>
    </chartFormat>
    <chartFormat chart="28" format="26" series="1">
      <pivotArea type="data" outline="0" fieldPosition="0">
        <references count="2">
          <reference field="4294967294" count="1" selected="0">
            <x v="0"/>
          </reference>
          <reference field="2" count="1" selected="0">
            <x v="3"/>
          </reference>
        </references>
      </pivotArea>
    </chartFormat>
    <chartFormat chart="26" format="21" series="1">
      <pivotArea type="data" outline="0" fieldPosition="0">
        <references count="2">
          <reference field="4294967294" count="1" selected="0">
            <x v="0"/>
          </reference>
          <reference field="2" count="1" selected="0">
            <x v="3"/>
          </reference>
        </references>
      </pivotArea>
    </chartFormat>
    <chartFormat chart="26" format="22" series="1">
      <pivotArea type="data" outline="0" fieldPosition="0">
        <references count="1">
          <reference field="4294967294" count="1" selected="0">
            <x v="0"/>
          </reference>
        </references>
      </pivotArea>
    </chartFormat>
    <chartFormat chart="28"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7B928C-AC77-774F-AD0A-F1C2EC33E0B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F15" firstHeaderRow="1" firstDataRow="2"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sortType="ascending"/>
    <pivotField numFmtId="164" showAll="0"/>
    <pivotField numFmtId="164" showAll="0"/>
    <pivotField numFmtId="164" showAll="0"/>
    <pivotField dataField="1" numFmtId="164" showAll="0"/>
    <pivotField numFmtId="164" showAll="0"/>
    <pivotField numFmtId="164" showAll="0"/>
    <pivotField numFmtId="164"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axis="axisCol" showAll="0">
      <items count="7">
        <item x="1"/>
        <item x="0"/>
        <item m="1" x="5"/>
        <item x="2"/>
        <item x="3"/>
        <item m="1" x="4"/>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2">
    <field x="26"/>
    <field x="13"/>
  </rowFields>
  <rowItems count="13">
    <i>
      <x/>
    </i>
    <i>
      <x v="1"/>
    </i>
    <i>
      <x v="2"/>
    </i>
    <i>
      <x v="3"/>
    </i>
    <i>
      <x v="4"/>
    </i>
    <i>
      <x v="5"/>
    </i>
    <i>
      <x v="6"/>
    </i>
    <i>
      <x v="7"/>
    </i>
    <i>
      <x v="8"/>
    </i>
    <i>
      <x v="9"/>
    </i>
    <i>
      <x v="10"/>
    </i>
    <i>
      <x v="11"/>
    </i>
    <i t="grand">
      <x/>
    </i>
  </rowItems>
  <colFields count="1">
    <field x="25"/>
  </colFields>
  <colItems count="5">
    <i>
      <x/>
    </i>
    <i>
      <x v="1"/>
    </i>
    <i>
      <x v="3"/>
    </i>
    <i>
      <x v="4"/>
    </i>
    <i t="grand">
      <x/>
    </i>
  </colItems>
  <dataFields count="1">
    <dataField name="Monthly Total Insured Premium" fld="6" baseField="0" baseItem="0" numFmtId="166"/>
  </dataFields>
  <chartFormats count="18">
    <chartFormat chart="9"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2" format="15" series="1">
      <pivotArea type="data" outline="0" fieldPosition="0">
        <references count="1">
          <reference field="4294967294" count="1" selected="0">
            <x v="0"/>
          </reference>
        </references>
      </pivotArea>
    </chartFormat>
    <chartFormat chart="22" format="16" series="1">
      <pivotArea type="data" outline="0" fieldPosition="0">
        <references count="2">
          <reference field="4294967294" count="1" selected="0">
            <x v="0"/>
          </reference>
          <reference field="25" count="1" selected="0">
            <x v="1"/>
          </reference>
        </references>
      </pivotArea>
    </chartFormat>
    <chartFormat chart="22" format="17" series="1">
      <pivotArea type="data" outline="0" fieldPosition="0">
        <references count="2">
          <reference field="4294967294" count="1" selected="0">
            <x v="0"/>
          </reference>
          <reference field="25" count="1" selected="0">
            <x v="2"/>
          </reference>
        </references>
      </pivotArea>
    </chartFormat>
    <chartFormat chart="22" format="18" series="1">
      <pivotArea type="data" outline="0" fieldPosition="0">
        <references count="2">
          <reference field="4294967294" count="1" selected="0">
            <x v="0"/>
          </reference>
          <reference field="25" count="1" selected="0">
            <x v="3"/>
          </reference>
        </references>
      </pivotArea>
    </chartFormat>
    <chartFormat chart="26" format="23" series="1">
      <pivotArea type="data" outline="0" fieldPosition="0">
        <references count="2">
          <reference field="4294967294" count="1" selected="0">
            <x v="0"/>
          </reference>
          <reference field="25" count="1" selected="0">
            <x v="0"/>
          </reference>
        </references>
      </pivotArea>
    </chartFormat>
    <chartFormat chart="26" format="24" series="1">
      <pivotArea type="data" outline="0" fieldPosition="0">
        <references count="2">
          <reference field="4294967294" count="1" selected="0">
            <x v="0"/>
          </reference>
          <reference field="25" count="1" selected="0">
            <x v="1"/>
          </reference>
        </references>
      </pivotArea>
    </chartFormat>
    <chartFormat chart="26" format="25" series="1">
      <pivotArea type="data" outline="0" fieldPosition="0">
        <references count="2">
          <reference field="4294967294" count="1" selected="0">
            <x v="0"/>
          </reference>
          <reference field="25" count="1" selected="0">
            <x v="2"/>
          </reference>
        </references>
      </pivotArea>
    </chartFormat>
    <chartFormat chart="26" format="26" series="1">
      <pivotArea type="data" outline="0" fieldPosition="0">
        <references count="2">
          <reference field="4294967294" count="1" selected="0">
            <x v="0"/>
          </reference>
          <reference field="25" count="1" selected="0">
            <x v="3"/>
          </reference>
        </references>
      </pivotArea>
    </chartFormat>
    <chartFormat chart="31" format="39" series="1">
      <pivotArea type="data" outline="0" fieldPosition="0">
        <references count="2">
          <reference field="4294967294" count="1" selected="0">
            <x v="0"/>
          </reference>
          <reference field="25" count="1" selected="0">
            <x v="0"/>
          </reference>
        </references>
      </pivotArea>
    </chartFormat>
    <chartFormat chart="31" format="40" series="1">
      <pivotArea type="data" outline="0" fieldPosition="0">
        <references count="2">
          <reference field="4294967294" count="1" selected="0">
            <x v="0"/>
          </reference>
          <reference field="25" count="1" selected="0">
            <x v="1"/>
          </reference>
        </references>
      </pivotArea>
    </chartFormat>
    <chartFormat chart="31" format="41" series="1">
      <pivotArea type="data" outline="0" fieldPosition="0">
        <references count="2">
          <reference field="4294967294" count="1" selected="0">
            <x v="0"/>
          </reference>
          <reference field="25" count="1" selected="0">
            <x v="2"/>
          </reference>
        </references>
      </pivotArea>
    </chartFormat>
    <chartFormat chart="31" format="42" series="1">
      <pivotArea type="data" outline="0" fieldPosition="0">
        <references count="2">
          <reference field="4294967294" count="1" selected="0">
            <x v="0"/>
          </reference>
          <reference field="25" count="1" selected="0">
            <x v="3"/>
          </reference>
        </references>
      </pivotArea>
    </chartFormat>
    <chartFormat chart="22" format="19" series="1">
      <pivotArea type="data" outline="0" fieldPosition="0">
        <references count="2">
          <reference field="4294967294" count="1" selected="0">
            <x v="0"/>
          </reference>
          <reference field="25" count="1" selected="0">
            <x v="0"/>
          </reference>
        </references>
      </pivotArea>
    </chartFormat>
    <chartFormat chart="31" format="43" series="1">
      <pivotArea type="data" outline="0" fieldPosition="0">
        <references count="1">
          <reference field="4294967294" count="1" selected="0">
            <x v="0"/>
          </reference>
        </references>
      </pivotArea>
    </chartFormat>
    <chartFormat chart="22" format="20" series="1">
      <pivotArea type="data" outline="0" fieldPosition="0">
        <references count="2">
          <reference field="4294967294" count="1" selected="0">
            <x v="0"/>
          </reference>
          <reference field="25" count="1" selected="0">
            <x v="4"/>
          </reference>
        </references>
      </pivotArea>
    </chartFormat>
    <chartFormat chart="31" format="4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8CE5C8-9E25-0E4A-A04F-133AE70D61A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F15" firstHeaderRow="1" firstDataRow="2"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sortType="ascending"/>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axis="axisCol" showAll="0">
      <items count="7">
        <item x="1"/>
        <item x="0"/>
        <item m="1" x="5"/>
        <item x="2"/>
        <item x="3"/>
        <item m="1" x="4"/>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2">
    <field x="26"/>
    <field x="13"/>
  </rowFields>
  <rowItems count="13">
    <i>
      <x/>
    </i>
    <i>
      <x v="1"/>
    </i>
    <i>
      <x v="2"/>
    </i>
    <i>
      <x v="3"/>
    </i>
    <i>
      <x v="4"/>
    </i>
    <i>
      <x v="5"/>
    </i>
    <i>
      <x v="6"/>
    </i>
    <i>
      <x v="7"/>
    </i>
    <i>
      <x v="8"/>
    </i>
    <i>
      <x v="9"/>
    </i>
    <i>
      <x v="10"/>
    </i>
    <i>
      <x v="11"/>
    </i>
    <i t="grand">
      <x/>
    </i>
  </rowItems>
  <colFields count="1">
    <field x="25"/>
  </colFields>
  <colItems count="5">
    <i>
      <x/>
    </i>
    <i>
      <x v="1"/>
    </i>
    <i>
      <x v="3"/>
    </i>
    <i>
      <x v="4"/>
    </i>
    <i t="grand">
      <x/>
    </i>
  </colItems>
  <dataFields count="1">
    <dataField name="Sum of Total lives" fld="12" baseField="0" baseItem="0"/>
  </dataFields>
  <chartFormats count="20">
    <chartFormat chart="26" format="27" series="1">
      <pivotArea type="data" outline="0" fieldPosition="0">
        <references count="1">
          <reference field="25" count="1" selected="0">
            <x v="0"/>
          </reference>
        </references>
      </pivotArea>
    </chartFormat>
    <chartFormat chart="26" format="28" series="1">
      <pivotArea type="data" outline="0" fieldPosition="0">
        <references count="1">
          <reference field="25" count="1" selected="0">
            <x v="1"/>
          </reference>
        </references>
      </pivotArea>
    </chartFormat>
    <chartFormat chart="26" format="29" series="1">
      <pivotArea type="data" outline="0" fieldPosition="0">
        <references count="1">
          <reference field="25" count="1" selected="0">
            <x v="2"/>
          </reference>
        </references>
      </pivotArea>
    </chartFormat>
    <chartFormat chart="26" format="30" series="1">
      <pivotArea type="data" outline="0" fieldPosition="0">
        <references count="1">
          <reference field="25" count="1" selected="0">
            <x v="3"/>
          </reference>
        </references>
      </pivotArea>
    </chartFormat>
    <chartFormat chart="26" format="31" series="1">
      <pivotArea type="data" outline="0" fieldPosition="0">
        <references count="2">
          <reference field="4294967294" count="1" selected="0">
            <x v="0"/>
          </reference>
          <reference field="25" count="1" selected="0">
            <x v="1"/>
          </reference>
        </references>
      </pivotArea>
    </chartFormat>
    <chartFormat chart="26" format="32" series="1">
      <pivotArea type="data" outline="0" fieldPosition="0">
        <references count="2">
          <reference field="4294967294" count="1" selected="0">
            <x v="0"/>
          </reference>
          <reference field="25" count="1" selected="0">
            <x v="2"/>
          </reference>
        </references>
      </pivotArea>
    </chartFormat>
    <chartFormat chart="26" format="33" series="1">
      <pivotArea type="data" outline="0" fieldPosition="0">
        <references count="2">
          <reference field="4294967294" count="1" selected="0">
            <x v="0"/>
          </reference>
          <reference field="25" count="1" selected="0">
            <x v="3"/>
          </reference>
        </references>
      </pivotArea>
    </chartFormat>
    <chartFormat chart="32" format="54" series="1">
      <pivotArea type="data" outline="0" fieldPosition="0">
        <references count="2">
          <reference field="4294967294" count="1" selected="0">
            <x v="0"/>
          </reference>
          <reference field="25" count="1" selected="0">
            <x v="0"/>
          </reference>
        </references>
      </pivotArea>
    </chartFormat>
    <chartFormat chart="32" format="55" series="1">
      <pivotArea type="data" outline="0" fieldPosition="0">
        <references count="2">
          <reference field="4294967294" count="1" selected="0">
            <x v="0"/>
          </reference>
          <reference field="25" count="1" selected="0">
            <x v="1"/>
          </reference>
        </references>
      </pivotArea>
    </chartFormat>
    <chartFormat chart="32" format="56" series="1">
      <pivotArea type="data" outline="0" fieldPosition="0">
        <references count="2">
          <reference field="4294967294" count="1" selected="0">
            <x v="0"/>
          </reference>
          <reference field="25" count="1" selected="0">
            <x v="2"/>
          </reference>
        </references>
      </pivotArea>
    </chartFormat>
    <chartFormat chart="32" format="57" series="1">
      <pivotArea type="data" outline="0" fieldPosition="0">
        <references count="2">
          <reference field="4294967294" count="1" selected="0">
            <x v="0"/>
          </reference>
          <reference field="25" count="1" selected="0">
            <x v="3"/>
          </reference>
        </references>
      </pivotArea>
    </chartFormat>
    <chartFormat chart="34" format="38" series="1">
      <pivotArea type="data" outline="0" fieldPosition="0">
        <references count="2">
          <reference field="4294967294" count="1" selected="0">
            <x v="0"/>
          </reference>
          <reference field="25" count="1" selected="0">
            <x v="0"/>
          </reference>
        </references>
      </pivotArea>
    </chartFormat>
    <chartFormat chart="34" format="39" series="1">
      <pivotArea type="data" outline="0" fieldPosition="0">
        <references count="2">
          <reference field="4294967294" count="1" selected="0">
            <x v="0"/>
          </reference>
          <reference field="25" count="1" selected="0">
            <x v="1"/>
          </reference>
        </references>
      </pivotArea>
    </chartFormat>
    <chartFormat chart="34" format="40" series="1">
      <pivotArea type="data" outline="0" fieldPosition="0">
        <references count="2">
          <reference field="4294967294" count="1" selected="0">
            <x v="0"/>
          </reference>
          <reference field="25" count="1" selected="0">
            <x v="2"/>
          </reference>
        </references>
      </pivotArea>
    </chartFormat>
    <chartFormat chart="34" format="41" series="1">
      <pivotArea type="data" outline="0" fieldPosition="0">
        <references count="2">
          <reference field="4294967294" count="1" selected="0">
            <x v="0"/>
          </reference>
          <reference field="25" count="1" selected="0">
            <x v="3"/>
          </reference>
        </references>
      </pivotArea>
    </chartFormat>
    <chartFormat chart="26" format="34" series="1">
      <pivotArea type="data" outline="0" fieldPosition="0">
        <references count="2">
          <reference field="4294967294" count="1" selected="0">
            <x v="0"/>
          </reference>
          <reference field="25" count="1" selected="0">
            <x v="0"/>
          </reference>
        </references>
      </pivotArea>
    </chartFormat>
    <chartFormat chart="26" format="35" series="1">
      <pivotArea type="data" outline="0" fieldPosition="0">
        <references count="1">
          <reference field="4294967294" count="1" selected="0">
            <x v="0"/>
          </reference>
        </references>
      </pivotArea>
    </chartFormat>
    <chartFormat chart="32" format="58" series="1">
      <pivotArea type="data" outline="0" fieldPosition="0">
        <references count="1">
          <reference field="4294967294" count="1" selected="0">
            <x v="0"/>
          </reference>
        </references>
      </pivotArea>
    </chartFormat>
    <chartFormat chart="26" format="36" series="1">
      <pivotArea type="data" outline="0" fieldPosition="0">
        <references count="2">
          <reference field="4294967294" count="1" selected="0">
            <x v="0"/>
          </reference>
          <reference field="25" count="1" selected="0">
            <x v="4"/>
          </reference>
        </references>
      </pivotArea>
    </chartFormat>
    <chartFormat chart="32" format="59"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0D54B-F88A-8C4D-9B69-95B6D20F2C1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1:H6" firstHeaderRow="0" firstDataRow="1" firstDataCol="1"/>
  <pivotFields count="29">
    <pivotField axis="axisRow" showAll="0" sortType="descending">
      <items count="59">
        <item m="1" x="53"/>
        <item x="19"/>
        <item x="14"/>
        <item m="1" x="48"/>
        <item x="0"/>
        <item x="3"/>
        <item m="1" x="55"/>
        <item x="18"/>
        <item m="1" x="50"/>
        <item m="1" x="52"/>
        <item x="17"/>
        <item x="1"/>
        <item m="1" x="51"/>
        <item x="22"/>
        <item x="2"/>
        <item x="8"/>
        <item x="7"/>
        <item x="9"/>
        <item m="1" x="54"/>
        <item x="5"/>
        <item m="1" x="49"/>
        <item x="6"/>
        <item x="12"/>
        <item x="23"/>
        <item m="1" x="56"/>
        <item x="25"/>
        <item m="1" x="57"/>
        <item x="4"/>
        <item x="10"/>
        <item x="11"/>
        <item x="13"/>
        <item x="15"/>
        <item x="16"/>
        <item x="20"/>
        <item x="21"/>
        <item x="24"/>
        <item x="26"/>
        <item x="27"/>
        <item x="28"/>
        <item x="29"/>
        <item x="30"/>
        <item x="31"/>
        <item x="32"/>
        <item x="33"/>
        <item x="34"/>
        <item x="35"/>
        <item x="36"/>
        <item x="37"/>
        <item x="38"/>
        <item x="39"/>
        <item x="40"/>
        <item x="41"/>
        <item x="42"/>
        <item x="43"/>
        <item x="44"/>
        <item x="45"/>
        <item x="46"/>
        <item x="47"/>
        <item t="default"/>
      </items>
      <autoSortScope>
        <pivotArea dataOnly="0" outline="0" fieldPosition="0">
          <references count="1">
            <reference field="4294967294" count="1" selected="0">
              <x v="1"/>
            </reference>
          </references>
        </pivotArea>
      </autoSortScope>
    </pivotField>
    <pivotField showAll="0"/>
    <pivotField showAll="0" sortType="ascending"/>
    <pivotField numFmtId="164" showAll="0"/>
    <pivotField numFmtId="164" showAll="0"/>
    <pivotField numFmtId="164" showAll="0"/>
    <pivotField dataField="1" numFmtId="164" showAll="0"/>
    <pivotField numFmtId="164" showAll="0"/>
    <pivotField numFmtId="164" showAll="0"/>
    <pivotField numFmtId="164" showAll="0"/>
    <pivotField dataField="1"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dataField="1" numFmtId="2" showAll="0"/>
    <pivotField axis="axisRow" dataField="1" showAll="0" sortType="ascending">
      <items count="7">
        <item sd="0" x="1"/>
        <item sd="0" x="0"/>
        <item sd="0" m="1" x="5"/>
        <item sd="0" x="2"/>
        <item sd="0" x="3"/>
        <item m="1" x="4"/>
        <item t="default"/>
      </items>
      <autoSortScope>
        <pivotArea dataOnly="0" outline="0" fieldPosition="0">
          <references count="1">
            <reference field="4294967294" count="1" selected="0">
              <x v="1"/>
            </reference>
          </references>
        </pivotArea>
      </autoSortScope>
    </pivotField>
    <pivotField showAll="0" sortType="ascending">
      <items count="15">
        <item sd="0" x="1"/>
        <item sd="0" x="2"/>
        <item sd="0" x="3"/>
        <item sd="0" x="4"/>
        <item sd="0" x="5"/>
        <item sd="0" x="6"/>
        <item sd="0" x="7"/>
        <item sd="0" x="8"/>
        <item sd="0" x="9"/>
        <item sd="0" x="10"/>
        <item sd="0" x="11"/>
        <item sd="0" x="12"/>
        <item sd="0" x="0"/>
        <item sd="0" x="13"/>
        <item t="default"/>
      </items>
    </pivotField>
    <pivotField dataField="1" dragToRow="0" dragToCol="0" dragToPage="0" showAll="0" defaultSubtotal="0"/>
    <pivotField dragToRow="0" dragToCol="0" dragToPage="0" showAll="0" defaultSubtotal="0"/>
  </pivotFields>
  <rowFields count="2">
    <field x="25"/>
    <field x="0"/>
  </rowFields>
  <rowItems count="5">
    <i>
      <x v="1"/>
    </i>
    <i>
      <x/>
    </i>
    <i>
      <x v="4"/>
    </i>
    <i>
      <x v="3"/>
    </i>
    <i t="grand">
      <x/>
    </i>
  </rowItems>
  <colFields count="1">
    <field x="-2"/>
  </colFields>
  <colItems count="7">
    <i>
      <x/>
    </i>
    <i i="1">
      <x v="1"/>
    </i>
    <i i="2">
      <x v="2"/>
    </i>
    <i i="3">
      <x v="3"/>
    </i>
    <i i="4">
      <x v="4"/>
    </i>
    <i i="5">
      <x v="5"/>
    </i>
    <i i="6">
      <x v="6"/>
    </i>
  </colItems>
  <dataFields count="7">
    <dataField name="Count of Client Segment" fld="25" subtotal="count" baseField="0" baseItem="0"/>
    <dataField name="YTD Principal Member Lives by Segment" fld="10" baseField="0" baseItem="0"/>
    <dataField name="YTD Dependent Lives Covered" fld="11" baseField="0" baseItem="0"/>
    <dataField name="YTD Lives Covered" fld="12" baseField="0" baseItem="0"/>
    <dataField name="Total Insured Premium by Segment" fld="6" baseField="0" baseItem="0" numFmtId="165"/>
    <dataField name="Average Insured Premium per Principal Member" fld="27" baseField="0" baseItem="0" numFmtId="165"/>
    <dataField name="Calculated Average Number of Dependents per Employee" fld="24" subtotal="average" baseField="0" baseItem="0" numFmtId="4"/>
  </dataFields>
  <chartFormats count="7">
    <chartFormat chart="27" format="12" series="1">
      <pivotArea type="data" outline="0" fieldPosition="0">
        <references count="1">
          <reference field="4294967294" count="1" selected="0">
            <x v="3"/>
          </reference>
        </references>
      </pivotArea>
    </chartFormat>
    <chartFormat chart="29" format="17" series="1">
      <pivotArea type="data" outline="0" fieldPosition="0">
        <references count="1">
          <reference field="4294967294" count="1" selected="0">
            <x v="3"/>
          </reference>
        </references>
      </pivotArea>
    </chartFormat>
    <chartFormat chart="39" format="66" series="1">
      <pivotArea type="data" outline="0" fieldPosition="0">
        <references count="1">
          <reference field="4294967294" count="1" selected="0">
            <x v="3"/>
          </reference>
        </references>
      </pivotArea>
    </chartFormat>
    <chartFormat chart="39" format="67">
      <pivotArea type="data" outline="0" fieldPosition="0">
        <references count="2">
          <reference field="4294967294" count="1" selected="0">
            <x v="3"/>
          </reference>
          <reference field="25" count="1" selected="0">
            <x v="0"/>
          </reference>
        </references>
      </pivotArea>
    </chartFormat>
    <chartFormat chart="39" format="68">
      <pivotArea type="data" outline="0" fieldPosition="0">
        <references count="2">
          <reference field="4294967294" count="1" selected="0">
            <x v="3"/>
          </reference>
          <reference field="25" count="1" selected="0">
            <x v="1"/>
          </reference>
        </references>
      </pivotArea>
    </chartFormat>
    <chartFormat chart="39" format="69">
      <pivotArea type="data" outline="0" fieldPosition="0">
        <references count="2">
          <reference field="4294967294" count="1" selected="0">
            <x v="3"/>
          </reference>
          <reference field="25" count="1" selected="0">
            <x v="2"/>
          </reference>
        </references>
      </pivotArea>
    </chartFormat>
    <chartFormat chart="39" format="70">
      <pivotArea type="data" outline="0" fieldPosition="0">
        <references count="2">
          <reference field="4294967294" count="1" selected="0">
            <x v="3"/>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C8CB88-0D77-7243-BBF2-AE91CDE31AC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D50" firstHeaderRow="0" firstDataRow="1" firstDataCol="1"/>
  <pivotFields count="29">
    <pivotField axis="axisRow" showAll="0">
      <items count="59">
        <item m="1" x="53"/>
        <item x="19"/>
        <item x="14"/>
        <item m="1" x="48"/>
        <item x="0"/>
        <item x="3"/>
        <item m="1" x="55"/>
        <item x="18"/>
        <item m="1" x="50"/>
        <item m="1" x="52"/>
        <item x="17"/>
        <item x="1"/>
        <item m="1" x="51"/>
        <item x="22"/>
        <item x="2"/>
        <item x="8"/>
        <item x="7"/>
        <item x="9"/>
        <item m="1" x="54"/>
        <item x="5"/>
        <item m="1" x="49"/>
        <item x="6"/>
        <item x="12"/>
        <item x="23"/>
        <item m="1" x="56"/>
        <item x="25"/>
        <item m="1" x="57"/>
        <item x="4"/>
        <item x="10"/>
        <item x="11"/>
        <item x="13"/>
        <item x="15"/>
        <item x="16"/>
        <item x="20"/>
        <item x="21"/>
        <item x="24"/>
        <item x="26"/>
        <item x="27"/>
        <item x="28"/>
        <item x="29"/>
        <item x="30"/>
        <item x="31"/>
        <item x="32"/>
        <item x="33"/>
        <item x="34"/>
        <item x="35"/>
        <item x="36"/>
        <item x="37"/>
        <item x="38"/>
        <item x="39"/>
        <item x="40"/>
        <item x="41"/>
        <item x="42"/>
        <item x="43"/>
        <item x="44"/>
        <item x="45"/>
        <item x="46"/>
        <item x="47"/>
        <item t="default"/>
      </items>
    </pivotField>
    <pivotField showAll="0"/>
    <pivotField showAll="0" sortType="ascending"/>
    <pivotField numFmtId="164" showAll="0"/>
    <pivotField numFmtId="164" showAll="0"/>
    <pivotField numFmtId="164" showAll="0"/>
    <pivotField dataField="1" numFmtId="164" showAll="0"/>
    <pivotField numFmtId="164" showAll="0"/>
    <pivotField numFmtId="164" showAll="0"/>
    <pivotField name="Average Premium per Principal Member2" numFmtId="164"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dataField="1" numFmtId="2" showAll="0"/>
    <pivotField showAll="0">
      <items count="7">
        <item x="3"/>
        <item x="1"/>
        <item x="0"/>
        <item m="1" x="5"/>
        <item x="2"/>
        <item m="1" x="4"/>
        <item t="default"/>
      </items>
    </pivotField>
    <pivotField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1">
    <field x="0"/>
  </rowFields>
  <rowItems count="49">
    <i>
      <x v="1"/>
    </i>
    <i>
      <x v="2"/>
    </i>
    <i>
      <x v="4"/>
    </i>
    <i>
      <x v="5"/>
    </i>
    <i>
      <x v="7"/>
    </i>
    <i>
      <x v="10"/>
    </i>
    <i>
      <x v="11"/>
    </i>
    <i>
      <x v="13"/>
    </i>
    <i>
      <x v="14"/>
    </i>
    <i>
      <x v="15"/>
    </i>
    <i>
      <x v="16"/>
    </i>
    <i>
      <x v="17"/>
    </i>
    <i>
      <x v="19"/>
    </i>
    <i>
      <x v="21"/>
    </i>
    <i>
      <x v="22"/>
    </i>
    <i>
      <x v="23"/>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3">
    <i>
      <x/>
    </i>
    <i i="1">
      <x v="1"/>
    </i>
    <i i="2">
      <x v="2"/>
    </i>
  </colItems>
  <dataFields count="3">
    <dataField name="Total No. of Principal Member" fld="10" baseField="0" baseItem="0" numFmtId="3"/>
    <dataField name="Client Total of Insured Premium" fld="6" baseField="0" baseItem="0" numFmtId="165"/>
    <dataField name="Average of Average Number of Dependents per Employee" fld="24" subtotal="average"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C48545-8E13-6447-8062-98AB628885F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B5" firstHeaderRow="1"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axis="axisRow" showAll="0" sortType="ascending">
      <items count="5">
        <item x="2"/>
        <item x="1"/>
        <item x="0"/>
        <item m="1" x="3"/>
        <item t="default"/>
      </items>
    </pivotField>
    <pivotField numFmtId="164" showAll="0"/>
    <pivotField numFmtId="164" showAll="0"/>
    <pivotField numFmtId="164" showAll="0"/>
    <pivotField dataField="1" numFmtId="164" showAll="0"/>
    <pivotField numFmtId="164" showAll="0"/>
    <pivotField numFmtId="164" showAll="0"/>
    <pivotField numFmtId="164"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1">
    <field x="2"/>
  </rowFields>
  <rowItems count="4">
    <i>
      <x/>
    </i>
    <i>
      <x v="1"/>
    </i>
    <i>
      <x v="2"/>
    </i>
    <i t="grand">
      <x/>
    </i>
  </rowItems>
  <colItems count="1">
    <i/>
  </colItems>
  <dataFields count="1">
    <dataField name="YTD Total Insured Premium" fld="6" baseField="0" baseItem="0" numFmtId="166"/>
  </dataFields>
  <chartFormats count="43">
    <chartFormat chart="9"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9" format="17" series="1">
      <pivotArea type="data" outline="0" fieldPosition="0">
        <references count="2">
          <reference field="4294967294" count="1" selected="0">
            <x v="0"/>
          </reference>
          <reference field="2" count="1" selected="0">
            <x v="1"/>
          </reference>
        </references>
      </pivotArea>
    </chartFormat>
    <chartFormat chart="9" format="18" series="1">
      <pivotArea type="data" outline="0" fieldPosition="0">
        <references count="2">
          <reference field="4294967294" count="1" selected="0">
            <x v="0"/>
          </reference>
          <reference field="2" count="1" selected="0">
            <x v="2"/>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2" format="8" series="1">
      <pivotArea type="data" outline="0" fieldPosition="0">
        <references count="2">
          <reference field="4294967294" count="1" selected="0">
            <x v="0"/>
          </reference>
          <reference field="2" count="1" selected="0">
            <x v="0"/>
          </reference>
        </references>
      </pivotArea>
    </chartFormat>
    <chartFormat chart="12" format="9" series="1">
      <pivotArea type="data" outline="0" fieldPosition="0">
        <references count="2">
          <reference field="4294967294" count="1" selected="0">
            <x v="0"/>
          </reference>
          <reference field="2" count="1" selected="0">
            <x v="1"/>
          </reference>
        </references>
      </pivotArea>
    </chartFormat>
    <chartFormat chart="12" format="10" series="1">
      <pivotArea type="data" outline="0" fieldPosition="0">
        <references count="2">
          <reference field="4294967294" count="1" selected="0">
            <x v="0"/>
          </reference>
          <reference field="2" count="1" selected="0">
            <x v="2"/>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0"/>
          </reference>
        </references>
      </pivotArea>
    </chartFormat>
    <chartFormat chart="17" format="4" series="1">
      <pivotArea type="data" outline="0" fieldPosition="0">
        <references count="2">
          <reference field="4294967294" count="1" selected="0">
            <x v="0"/>
          </reference>
          <reference field="2" count="1" selected="0">
            <x v="1"/>
          </reference>
        </references>
      </pivotArea>
    </chartFormat>
    <chartFormat chart="17" format="5" series="1">
      <pivotArea type="data" outline="0" fieldPosition="0">
        <references count="2">
          <reference field="4294967294" count="1" selected="0">
            <x v="0"/>
          </reference>
          <reference field="2" count="1" selected="0">
            <x v="2"/>
          </reference>
        </references>
      </pivotArea>
    </chartFormat>
    <chartFormat chart="18" format="6" series="1">
      <pivotArea type="data" outline="0" fieldPosition="0">
        <references count="2">
          <reference field="4294967294" count="1" selected="0">
            <x v="0"/>
          </reference>
          <reference field="2" count="1" selected="0">
            <x v="0"/>
          </reference>
        </references>
      </pivotArea>
    </chartFormat>
    <chartFormat chart="18" format="7" series="1">
      <pivotArea type="data" outline="0" fieldPosition="0">
        <references count="2">
          <reference field="4294967294" count="1" selected="0">
            <x v="0"/>
          </reference>
          <reference field="2" count="1" selected="0">
            <x v="1"/>
          </reference>
        </references>
      </pivotArea>
    </chartFormat>
    <chartFormat chart="18" format="8" series="1">
      <pivotArea type="data" outline="0" fieldPosition="0">
        <references count="2">
          <reference field="4294967294" count="1" selected="0">
            <x v="0"/>
          </reference>
          <reference field="2" count="1" selected="0">
            <x v="2"/>
          </reference>
        </references>
      </pivotArea>
    </chartFormat>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23" format="2" series="1">
      <pivotArea type="data" outline="0" fieldPosition="0">
        <references count="2">
          <reference field="4294967294" count="1" selected="0">
            <x v="0"/>
          </reference>
          <reference field="2" count="1" selected="0">
            <x v="2"/>
          </reference>
        </references>
      </pivotArea>
    </chartFormat>
    <chartFormat chart="23" format="3"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2" count="1" selected="0">
            <x v="0"/>
          </reference>
        </references>
      </pivotArea>
    </chartFormat>
    <chartFormat chart="27" format="10">
      <pivotArea type="data" outline="0" fieldPosition="0">
        <references count="2">
          <reference field="4294967294" count="1" selected="0">
            <x v="0"/>
          </reference>
          <reference field="2" count="1" selected="0">
            <x v="1"/>
          </reference>
        </references>
      </pivotArea>
    </chartFormat>
    <chartFormat chart="27" format="11">
      <pivotArea type="data" outline="0" fieldPosition="0">
        <references count="2">
          <reference field="4294967294" count="1" selected="0">
            <x v="0"/>
          </reference>
          <reference field="2"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2" count="1" selected="0">
            <x v="0"/>
          </reference>
        </references>
      </pivotArea>
    </chartFormat>
    <chartFormat chart="29" format="10">
      <pivotArea type="data" outline="0" fieldPosition="0">
        <references count="2">
          <reference field="4294967294" count="1" selected="0">
            <x v="0"/>
          </reference>
          <reference field="2" count="1" selected="0">
            <x v="1"/>
          </reference>
        </references>
      </pivotArea>
    </chartFormat>
    <chartFormat chart="29" format="11">
      <pivotArea type="data" outline="0" fieldPosition="0">
        <references count="2">
          <reference field="4294967294" count="1" selected="0">
            <x v="0"/>
          </reference>
          <reference field="2" count="1" selected="0">
            <x v="2"/>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2" count="1" selected="0">
            <x v="0"/>
          </reference>
        </references>
      </pivotArea>
    </chartFormat>
    <chartFormat chart="31" format="10">
      <pivotArea type="data" outline="0" fieldPosition="0">
        <references count="2">
          <reference field="4294967294" count="1" selected="0">
            <x v="0"/>
          </reference>
          <reference field="2" count="1" selected="0">
            <x v="1"/>
          </reference>
        </references>
      </pivotArea>
    </chartFormat>
    <chartFormat chart="31" format="11">
      <pivotArea type="data" outline="0" fieldPosition="0">
        <references count="2">
          <reference field="4294967294" count="1" selected="0">
            <x v="0"/>
          </reference>
          <reference field="2" count="1" selected="0">
            <x v="2"/>
          </reference>
        </references>
      </pivotArea>
    </chartFormat>
    <chartFormat chart="23" format="4">
      <pivotArea type="data" outline="0" fieldPosition="0">
        <references count="2">
          <reference field="4294967294" count="1" selected="0">
            <x v="0"/>
          </reference>
          <reference field="2" count="1" selected="0">
            <x v="0"/>
          </reference>
        </references>
      </pivotArea>
    </chartFormat>
    <chartFormat chart="23" format="5">
      <pivotArea type="data" outline="0" fieldPosition="0">
        <references count="2">
          <reference field="4294967294" count="1" selected="0">
            <x v="0"/>
          </reference>
          <reference field="2" count="1" selected="0">
            <x v="1"/>
          </reference>
        </references>
      </pivotArea>
    </chartFormat>
    <chartFormat chart="23" format="6">
      <pivotArea type="data" outline="0" fieldPosition="0">
        <references count="2">
          <reference field="4294967294" count="1" selected="0">
            <x v="0"/>
          </reference>
          <reference field="2" count="1" selected="0">
            <x v="2"/>
          </reference>
        </references>
      </pivotArea>
    </chartFormat>
    <chartFormat chart="31" format="12">
      <pivotArea type="data" outline="0" fieldPosition="0">
        <references count="2">
          <reference field="4294967294" count="1" selected="0">
            <x v="0"/>
          </reference>
          <reference field="2" count="1" selected="0">
            <x v="3"/>
          </reference>
        </references>
      </pivotArea>
    </chartFormat>
    <chartFormat chart="23" format="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14C7B-A682-D54A-947A-D6F1457EAE5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B6" firstHeaderRow="1"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sortType="ascending"/>
    <pivotField numFmtId="164" showAll="0"/>
    <pivotField numFmtId="164" showAll="0"/>
    <pivotField numFmtId="164" showAll="0"/>
    <pivotField dataField="1" numFmtId="164" showAll="0"/>
    <pivotField numFmtId="164" showAll="0"/>
    <pivotField numFmtId="164" showAll="0"/>
    <pivotField numFmtId="164"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axis="axisRow" showAll="0">
      <items count="7">
        <item x="1"/>
        <item x="0"/>
        <item m="1" x="5"/>
        <item x="2"/>
        <item x="3"/>
        <item m="1" x="4"/>
        <item t="default"/>
      </items>
    </pivotField>
    <pivotField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1">
    <field x="25"/>
  </rowFields>
  <rowItems count="5">
    <i>
      <x/>
    </i>
    <i>
      <x v="1"/>
    </i>
    <i>
      <x v="3"/>
    </i>
    <i>
      <x v="4"/>
    </i>
    <i t="grand">
      <x/>
    </i>
  </rowItems>
  <colItems count="1">
    <i/>
  </colItems>
  <dataFields count="1">
    <dataField name="YTD Total Insured Premium" fld="6" showDataAs="percentOfTotal" baseField="0" baseItem="0" numFmtId="10"/>
  </dataFields>
  <chartFormats count="17">
    <chartFormat chart="9"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0" format="15"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8" format="37" series="1">
      <pivotArea type="data" outline="0" fieldPosition="0">
        <references count="1">
          <reference field="4294967294" count="1" selected="0">
            <x v="0"/>
          </reference>
        </references>
      </pivotArea>
    </chartFormat>
    <chartFormat chart="38" format="38">
      <pivotArea type="data" outline="0" fieldPosition="0">
        <references count="2">
          <reference field="4294967294" count="1" selected="0">
            <x v="0"/>
          </reference>
          <reference field="25" count="1" selected="0">
            <x v="0"/>
          </reference>
        </references>
      </pivotArea>
    </chartFormat>
    <chartFormat chart="38" format="39">
      <pivotArea type="data" outline="0" fieldPosition="0">
        <references count="2">
          <reference field="4294967294" count="1" selected="0">
            <x v="0"/>
          </reference>
          <reference field="25" count="1" selected="0">
            <x v="1"/>
          </reference>
        </references>
      </pivotArea>
    </chartFormat>
    <chartFormat chart="38" format="40">
      <pivotArea type="data" outline="0" fieldPosition="0">
        <references count="2">
          <reference field="4294967294" count="1" selected="0">
            <x v="0"/>
          </reference>
          <reference field="25" count="1" selected="0">
            <x v="2"/>
          </reference>
        </references>
      </pivotArea>
    </chartFormat>
    <chartFormat chart="38" format="41">
      <pivotArea type="data" outline="0" fieldPosition="0">
        <references count="2">
          <reference field="4294967294" count="1" selected="0">
            <x v="0"/>
          </reference>
          <reference field="25" count="1" selected="0">
            <x v="3"/>
          </reference>
        </references>
      </pivotArea>
    </chartFormat>
    <chartFormat chart="29" format="12">
      <pivotArea type="data" outline="0" fieldPosition="0">
        <references count="2">
          <reference field="4294967294" count="1" selected="0">
            <x v="0"/>
          </reference>
          <reference field="25" count="1" selected="0">
            <x v="0"/>
          </reference>
        </references>
      </pivotArea>
    </chartFormat>
    <chartFormat chart="29" format="13">
      <pivotArea type="data" outline="0" fieldPosition="0">
        <references count="2">
          <reference field="4294967294" count="1" selected="0">
            <x v="0"/>
          </reference>
          <reference field="25" count="1" selected="0">
            <x v="1"/>
          </reference>
        </references>
      </pivotArea>
    </chartFormat>
    <chartFormat chart="29" format="14">
      <pivotArea type="data" outline="0" fieldPosition="0">
        <references count="2">
          <reference field="4294967294" count="1" selected="0">
            <x v="0"/>
          </reference>
          <reference field="25" count="1" selected="0">
            <x v="2"/>
          </reference>
        </references>
      </pivotArea>
    </chartFormat>
    <chartFormat chart="29" format="15">
      <pivotArea type="data" outline="0" fieldPosition="0">
        <references count="2">
          <reference field="4294967294" count="1" selected="0">
            <x v="0"/>
          </reference>
          <reference field="25" count="1" selected="0">
            <x v="3"/>
          </reference>
        </references>
      </pivotArea>
    </chartFormat>
    <chartFormat chart="38" format="42">
      <pivotArea type="data" outline="0" fieldPosition="0">
        <references count="2">
          <reference field="4294967294" count="1" selected="0">
            <x v="0"/>
          </reference>
          <reference field="25" count="1" selected="0">
            <x v="4"/>
          </reference>
        </references>
      </pivotArea>
    </chartFormat>
    <chartFormat chart="29" format="16">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C5726-D9DD-404E-893B-2B7102E71F9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A2" firstHeaderRow="1" firstDataRow="1" firstDataCol="0"/>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h="1"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Items count="1">
    <i/>
  </rowItems>
  <colItems count="1">
    <i/>
  </colItems>
  <dataFields count="1">
    <dataField name="Sum of Total lives" fld="12" baseField="0" baseItem="0"/>
  </dataFields>
  <chartFormats count="2">
    <chartFormat chart="8" format="9"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3DF2A-7C82-A544-8033-963C0DE9A7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B5" firstHeaderRow="1"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axis="axisRow" showAll="0" sortType="ascending">
      <items count="5">
        <item x="2"/>
        <item x="1"/>
        <item x="0"/>
        <item m="1" x="3"/>
        <item t="default"/>
      </items>
    </pivotField>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h="1"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1">
    <field x="2"/>
  </rowFields>
  <rowItems count="4">
    <i>
      <x/>
    </i>
    <i>
      <x v="1"/>
    </i>
    <i>
      <x v="2"/>
    </i>
    <i t="grand">
      <x/>
    </i>
  </rowItems>
  <colItems count="1">
    <i/>
  </colItems>
  <dataFields count="1">
    <dataField name="YTD Total Lives Covered" fld="12" baseField="0" baseItem="0"/>
  </dataFields>
  <chartFormats count="14">
    <chartFormat chart="27" format="12"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29" format="18">
      <pivotArea type="data" outline="0" fieldPosition="0">
        <references count="2">
          <reference field="4294967294" count="1" selected="0">
            <x v="0"/>
          </reference>
          <reference field="2" count="1" selected="0">
            <x v="0"/>
          </reference>
        </references>
      </pivotArea>
    </chartFormat>
    <chartFormat chart="29" format="19">
      <pivotArea type="data" outline="0" fieldPosition="0">
        <references count="2">
          <reference field="4294967294" count="1" selected="0">
            <x v="0"/>
          </reference>
          <reference field="2" count="1" selected="0">
            <x v="1"/>
          </reference>
        </references>
      </pivotArea>
    </chartFormat>
    <chartFormat chart="29" format="20">
      <pivotArea type="data" outline="0" fieldPosition="0">
        <references count="2">
          <reference field="4294967294" count="1" selected="0">
            <x v="0"/>
          </reference>
          <reference field="2" count="1" selected="0">
            <x v="2"/>
          </reference>
        </references>
      </pivotArea>
    </chartFormat>
    <chartFormat chart="35" format="33" series="1">
      <pivotArea type="data" outline="0" fieldPosition="0">
        <references count="1">
          <reference field="4294967294" count="1" selected="0">
            <x v="0"/>
          </reference>
        </references>
      </pivotArea>
    </chartFormat>
    <chartFormat chart="35" format="34">
      <pivotArea type="data" outline="0" fieldPosition="0">
        <references count="2">
          <reference field="4294967294" count="1" selected="0">
            <x v="0"/>
          </reference>
          <reference field="2" count="1" selected="0">
            <x v="0"/>
          </reference>
        </references>
      </pivotArea>
    </chartFormat>
    <chartFormat chart="35" format="35">
      <pivotArea type="data" outline="0" fieldPosition="0">
        <references count="2">
          <reference field="4294967294" count="1" selected="0">
            <x v="0"/>
          </reference>
          <reference field="2" count="1" selected="0">
            <x v="1"/>
          </reference>
        </references>
      </pivotArea>
    </chartFormat>
    <chartFormat chart="35" format="36">
      <pivotArea type="data" outline="0" fieldPosition="0">
        <references count="2">
          <reference field="4294967294" count="1" selected="0">
            <x v="0"/>
          </reference>
          <reference field="2" count="1" selected="0">
            <x v="2"/>
          </reference>
        </references>
      </pivotArea>
    </chartFormat>
    <chartFormat chart="27" format="13">
      <pivotArea type="data" outline="0" fieldPosition="0">
        <references count="2">
          <reference field="4294967294" count="1" selected="0">
            <x v="0"/>
          </reference>
          <reference field="2" count="1" selected="0">
            <x v="0"/>
          </reference>
        </references>
      </pivotArea>
    </chartFormat>
    <chartFormat chart="27" format="14">
      <pivotArea type="data" outline="0" fieldPosition="0">
        <references count="2">
          <reference field="4294967294" count="1" selected="0">
            <x v="0"/>
          </reference>
          <reference field="2" count="1" selected="0">
            <x v="1"/>
          </reference>
        </references>
      </pivotArea>
    </chartFormat>
    <chartFormat chart="27" format="15">
      <pivotArea type="data" outline="0" fieldPosition="0">
        <references count="2">
          <reference field="4294967294" count="1" selected="0">
            <x v="0"/>
          </reference>
          <reference field="2" count="1" selected="0">
            <x v="2"/>
          </reference>
        </references>
      </pivotArea>
    </chartFormat>
    <chartFormat chart="35" format="37">
      <pivotArea type="data" outline="0" fieldPosition="0">
        <references count="2">
          <reference field="4294967294" count="1" selected="0">
            <x v="0"/>
          </reference>
          <reference field="2" count="1" selected="0">
            <x v="3"/>
          </reference>
        </references>
      </pivotArea>
    </chartFormat>
    <chartFormat chart="27" format="1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50893B-5CB5-AC4A-AFCC-D5E4A5BB67A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D1:E6" firstHeaderRow="1"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sortType="ascending"/>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h="1"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axis="axisRow" showAll="0">
      <items count="7">
        <item x="1"/>
        <item x="0"/>
        <item m="1" x="5"/>
        <item x="2"/>
        <item x="3"/>
        <item m="1" x="4"/>
        <item t="default"/>
      </items>
    </pivotField>
    <pivotField showAll="0" sortType="ascending">
      <items count="15">
        <item sd="0" x="1"/>
        <item sd="0" x="2"/>
        <item sd="0" x="3"/>
        <item sd="0" x="4"/>
        <item sd="0" x="5"/>
        <item sd="0" x="6"/>
        <item sd="0" x="7"/>
        <item sd="0" x="8"/>
        <item sd="0" x="9"/>
        <item sd="0" x="10"/>
        <item sd="0" x="11"/>
        <item sd="0" x="12"/>
        <item sd="0" x="0"/>
        <item sd="0" x="13"/>
        <item t="default"/>
      </items>
    </pivotField>
    <pivotField dragToRow="0" dragToCol="0" dragToPage="0" showAll="0" defaultSubtotal="0"/>
    <pivotField dragToRow="0" dragToCol="0" dragToPage="0" showAll="0" defaultSubtotal="0"/>
  </pivotFields>
  <rowFields count="1">
    <field x="25"/>
  </rowFields>
  <rowItems count="5">
    <i>
      <x/>
    </i>
    <i>
      <x v="1"/>
    </i>
    <i>
      <x v="3"/>
    </i>
    <i>
      <x v="4"/>
    </i>
    <i t="grand">
      <x/>
    </i>
  </rowItems>
  <colItems count="1">
    <i/>
  </colItems>
  <dataFields count="1">
    <dataField name="YTD Total Lives Covered" fld="12" showDataAs="percentOfTotal" baseField="0" baseItem="0" numFmtId="10"/>
  </dataFields>
  <chartFormats count="18">
    <chartFormat chart="27" format="12"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9" format="66" series="1">
      <pivotArea type="data" outline="0" fieldPosition="0">
        <references count="1">
          <reference field="4294967294" count="1" selected="0">
            <x v="0"/>
          </reference>
        </references>
      </pivotArea>
    </chartFormat>
    <chartFormat chart="39" format="67">
      <pivotArea type="data" outline="0" fieldPosition="0">
        <references count="2">
          <reference field="4294967294" count="1" selected="0">
            <x v="0"/>
          </reference>
          <reference field="25" count="1" selected="0">
            <x v="0"/>
          </reference>
        </references>
      </pivotArea>
    </chartFormat>
    <chartFormat chart="39" format="68">
      <pivotArea type="data" outline="0" fieldPosition="0">
        <references count="2">
          <reference field="4294967294" count="1" selected="0">
            <x v="0"/>
          </reference>
          <reference field="25" count="1" selected="0">
            <x v="1"/>
          </reference>
        </references>
      </pivotArea>
    </chartFormat>
    <chartFormat chart="39" format="69">
      <pivotArea type="data" outline="0" fieldPosition="0">
        <references count="2">
          <reference field="4294967294" count="1" selected="0">
            <x v="0"/>
          </reference>
          <reference field="25" count="1" selected="0">
            <x v="2"/>
          </reference>
        </references>
      </pivotArea>
    </chartFormat>
    <chartFormat chart="39" format="70">
      <pivotArea type="data" outline="0" fieldPosition="0">
        <references count="2">
          <reference field="4294967294" count="1" selected="0">
            <x v="0"/>
          </reference>
          <reference field="25" count="1" selected="0">
            <x v="3"/>
          </reference>
        </references>
      </pivotArea>
    </chartFormat>
    <chartFormat chart="41" format="26" series="1">
      <pivotArea type="data" outline="0" fieldPosition="0">
        <references count="1">
          <reference field="4294967294" count="1" selected="0">
            <x v="0"/>
          </reference>
        </references>
      </pivotArea>
    </chartFormat>
    <chartFormat chart="41" format="27">
      <pivotArea type="data" outline="0" fieldPosition="0">
        <references count="2">
          <reference field="4294967294" count="1" selected="0">
            <x v="0"/>
          </reference>
          <reference field="25" count="1" selected="0">
            <x v="0"/>
          </reference>
        </references>
      </pivotArea>
    </chartFormat>
    <chartFormat chart="41" format="28">
      <pivotArea type="data" outline="0" fieldPosition="0">
        <references count="2">
          <reference field="4294967294" count="1" selected="0">
            <x v="0"/>
          </reference>
          <reference field="25" count="1" selected="0">
            <x v="1"/>
          </reference>
        </references>
      </pivotArea>
    </chartFormat>
    <chartFormat chart="41" format="29">
      <pivotArea type="data" outline="0" fieldPosition="0">
        <references count="2">
          <reference field="4294967294" count="1" selected="0">
            <x v="0"/>
          </reference>
          <reference field="25" count="1" selected="0">
            <x v="2"/>
          </reference>
        </references>
      </pivotArea>
    </chartFormat>
    <chartFormat chart="41" format="30">
      <pivotArea type="data" outline="0" fieldPosition="0">
        <references count="2">
          <reference field="4294967294" count="1" selected="0">
            <x v="0"/>
          </reference>
          <reference field="25" count="1" selected="0">
            <x v="3"/>
          </reference>
        </references>
      </pivotArea>
    </chartFormat>
    <chartFormat chart="29" format="21">
      <pivotArea type="data" outline="0" fieldPosition="0">
        <references count="2">
          <reference field="4294967294" count="1" selected="0">
            <x v="0"/>
          </reference>
          <reference field="25" count="1" selected="0">
            <x v="0"/>
          </reference>
        </references>
      </pivotArea>
    </chartFormat>
    <chartFormat chart="29" format="22">
      <pivotArea type="data" outline="0" fieldPosition="0">
        <references count="2">
          <reference field="4294967294" count="1" selected="0">
            <x v="0"/>
          </reference>
          <reference field="25" count="1" selected="0">
            <x v="1"/>
          </reference>
        </references>
      </pivotArea>
    </chartFormat>
    <chartFormat chart="29" format="23">
      <pivotArea type="data" outline="0" fieldPosition="0">
        <references count="2">
          <reference field="4294967294" count="1" selected="0">
            <x v="0"/>
          </reference>
          <reference field="25" count="1" selected="0">
            <x v="2"/>
          </reference>
        </references>
      </pivotArea>
    </chartFormat>
    <chartFormat chart="29" format="24">
      <pivotArea type="data" outline="0" fieldPosition="0">
        <references count="2">
          <reference field="4294967294" count="1" selected="0">
            <x v="0"/>
          </reference>
          <reference field="25" count="1" selected="0">
            <x v="3"/>
          </reference>
        </references>
      </pivotArea>
    </chartFormat>
    <chartFormat chart="39" format="71">
      <pivotArea type="data" outline="0" fieldPosition="0">
        <references count="2">
          <reference field="4294967294" count="1" selected="0">
            <x v="0"/>
          </reference>
          <reference field="25" count="1" selected="0">
            <x v="4"/>
          </reference>
        </references>
      </pivotArea>
    </chartFormat>
    <chartFormat chart="29" format="25">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5A9CA3-3165-8B41-B0F5-3D72C650826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C14" firstHeaderRow="0"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2">
    <field x="26"/>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Monthly New Lives" fld="12" baseField="0" baseItem="0"/>
    <dataField name="Monthly New Basic Premium" fld="3" baseField="0" baseItem="0" numFmtId="166"/>
  </dataFields>
  <chartFormats count="4">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02B55-9104-9A4B-92C3-A5C0E5463E4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4" firstHeaderRow="1"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2">
    <field x="26"/>
    <field x="13"/>
  </rowFields>
  <rowItems count="13">
    <i>
      <x v="1"/>
    </i>
    <i>
      <x v="2"/>
    </i>
    <i>
      <x v="3"/>
    </i>
    <i>
      <x v="4"/>
    </i>
    <i>
      <x v="5"/>
    </i>
    <i>
      <x v="6"/>
    </i>
    <i>
      <x v="7"/>
    </i>
    <i>
      <x v="8"/>
    </i>
    <i>
      <x v="9"/>
    </i>
    <i>
      <x v="10"/>
    </i>
    <i>
      <x v="11"/>
    </i>
    <i>
      <x v="12"/>
    </i>
    <i t="grand">
      <x/>
    </i>
  </rowItems>
  <colItems count="1">
    <i/>
  </colItems>
  <dataFields count="1">
    <dataField name="Total Basic Premium" fld="3" baseField="0" baseItem="0" numFmtId="165"/>
  </dataFields>
  <chartFormats count="3">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E9B60B-67D8-3C4F-B049-5B1379D6DC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4" firstHeaderRow="0" firstDataRow="1" firstDataCol="1"/>
  <pivotFields count="29">
    <pivotField showAll="0">
      <items count="59">
        <item x="29"/>
        <item m="1" x="53"/>
        <item x="16"/>
        <item x="36"/>
        <item x="37"/>
        <item x="19"/>
        <item x="14"/>
        <item m="1" x="48"/>
        <item x="47"/>
        <item x="0"/>
        <item x="3"/>
        <item x="33"/>
        <item m="1" x="55"/>
        <item x="21"/>
        <item x="4"/>
        <item m="1" x="56"/>
        <item x="24"/>
        <item x="18"/>
        <item x="42"/>
        <item x="23"/>
        <item x="25"/>
        <item m="1" x="50"/>
        <item x="11"/>
        <item x="26"/>
        <item m="1" x="57"/>
        <item m="1" x="52"/>
        <item x="15"/>
        <item x="17"/>
        <item x="1"/>
        <item x="38"/>
        <item m="1" x="51"/>
        <item x="13"/>
        <item x="28"/>
        <item x="44"/>
        <item x="22"/>
        <item x="45"/>
        <item x="2"/>
        <item x="32"/>
        <item x="8"/>
        <item x="27"/>
        <item x="46"/>
        <item x="34"/>
        <item x="40"/>
        <item x="35"/>
        <item x="30"/>
        <item x="7"/>
        <item x="9"/>
        <item x="31"/>
        <item x="20"/>
        <item m="1" x="54"/>
        <item x="5"/>
        <item m="1" x="49"/>
        <item x="10"/>
        <item x="39"/>
        <item x="43"/>
        <item x="41"/>
        <item x="6"/>
        <item x="12"/>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dataField="1" showAll="0"/>
    <pivotField dataField="1"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items count="3">
        <item x="0"/>
        <item x="1"/>
        <item t="default"/>
      </items>
    </pivotField>
    <pivotField numFmtId="164" showAll="0"/>
    <pivotField numFmtId="164" showAll="0"/>
    <pivotField numFmtId="14" showAll="0"/>
    <pivotField numFmtId="1" showAll="0"/>
    <pivotField numFmtId="164" showAll="0"/>
    <pivotField numFmtId="164" showAll="0"/>
    <pivotField numFmtId="9" showAll="0"/>
    <pivotField numFmtId="9" showAll="0"/>
    <pivotField numFmtId="9" showAll="0"/>
    <pivotField numFmtId="2" showAll="0"/>
    <pivotField showAll="0">
      <items count="7">
        <item x="3"/>
        <item x="1"/>
        <item x="0"/>
        <item m="1" x="5"/>
        <item x="2"/>
        <item m="1" x="4"/>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2">
    <field x="26"/>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Total No. of Principal Member" fld="10" baseField="0" baseItem="0"/>
    <dataField name="Total No. of Dependents" fld="11" baseField="0" baseItem="0"/>
  </dataFields>
  <chartFormats count="4">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Name" xr10:uid="{46C3A3B8-F638-254C-9C79-4AD0982109C5}" sourceName="Client Name">
  <pivotTables>
    <pivotTable tabId="14" name="PivotTable1"/>
    <pivotTable tabId="12" name="PivotTable1"/>
    <pivotTable tabId="11" name="PivotTable1"/>
    <pivotTable tabId="5" name="PivotTable1"/>
    <pivotTable tabId="20" name="PivotTable1"/>
    <pivotTable tabId="21" name="PivotTable1"/>
    <pivotTable tabId="6" name="PivotTable1"/>
    <pivotTable tabId="7" name="PivotTable1"/>
    <pivotTable tabId="8" name="PivotTable1"/>
    <pivotTable tabId="16" name="PivotTable1"/>
    <pivotTable tabId="10" name="PivotTable1"/>
    <pivotTable tabId="15" name="PivotTable1"/>
    <pivotTable tabId="9" name="PivotTable1"/>
    <pivotTable tabId="22" name="PivotTable1"/>
    <pivotTable tabId="24" name="PivotTable1"/>
  </pivotTables>
  <data>
    <tabular pivotCacheId="613736066">
      <items count="58">
        <i x="29" s="1"/>
        <i x="16" s="1"/>
        <i x="36" s="1"/>
        <i x="37" s="1"/>
        <i x="19" s="1"/>
        <i x="14" s="1"/>
        <i x="47" s="1"/>
        <i x="0" s="1"/>
        <i x="3" s="1"/>
        <i x="33" s="1"/>
        <i x="21" s="1"/>
        <i x="4" s="1"/>
        <i x="24" s="1"/>
        <i x="18" s="1"/>
        <i x="42" s="1"/>
        <i x="23" s="1"/>
        <i x="25" s="1"/>
        <i x="11" s="1"/>
        <i x="26" s="1"/>
        <i x="15" s="1"/>
        <i x="17" s="1"/>
        <i x="1" s="1"/>
        <i x="38" s="1"/>
        <i x="13" s="1"/>
        <i x="28" s="1"/>
        <i x="44" s="1"/>
        <i x="22" s="1"/>
        <i x="45" s="1"/>
        <i x="2" s="1"/>
        <i x="32" s="1"/>
        <i x="8" s="1"/>
        <i x="27" s="1"/>
        <i x="46" s="1"/>
        <i x="34" s="1"/>
        <i x="40" s="1"/>
        <i x="35" s="1"/>
        <i x="30" s="1"/>
        <i x="7" s="1"/>
        <i x="9" s="1"/>
        <i x="31" s="1"/>
        <i x="20" s="1"/>
        <i x="5" s="1"/>
        <i x="10" s="1"/>
        <i x="39" s="1"/>
        <i x="43" s="1"/>
        <i x="41" s="1"/>
        <i x="6" s="1"/>
        <i x="12" s="1"/>
        <i x="53" s="1" nd="1"/>
        <i x="48" s="1" nd="1"/>
        <i x="55" s="1" nd="1"/>
        <i x="56" s="1" nd="1"/>
        <i x="50" s="1" nd="1"/>
        <i x="57" s="1" nd="1"/>
        <i x="52" s="1" nd="1"/>
        <i x="51" s="1" nd="1"/>
        <i x="54"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egment" xr10:uid="{65DBEB2A-5D1C-EB4A-87A6-1A601FBB2F7B}" sourceName="Client Segment">
  <pivotTables>
    <pivotTable tabId="14" name="PivotTable1"/>
    <pivotTable tabId="12" name="PivotTable1"/>
    <pivotTable tabId="11" name="PivotTable1"/>
    <pivotTable tabId="5" name="PivotTable1"/>
    <pivotTable tabId="20" name="PivotTable1"/>
    <pivotTable tabId="21" name="PivotTable1"/>
    <pivotTable tabId="6" name="PivotTable1"/>
    <pivotTable tabId="7" name="PivotTable1"/>
    <pivotTable tabId="8" name="PivotTable1"/>
    <pivotTable tabId="16" name="PivotTable1"/>
    <pivotTable tabId="10" name="PivotTable1"/>
    <pivotTable tabId="15" name="PivotTable1"/>
    <pivotTable tabId="9" name="PivotTable1"/>
    <pivotTable tabId="22" name="PivotTable1"/>
    <pivotTable tabId="24" name="PivotTable1"/>
  </pivotTables>
  <data>
    <tabular pivotCacheId="613736066">
      <items count="6">
        <i x="3" s="1"/>
        <i x="1" s="1"/>
        <i x="0" s="1"/>
        <i x="2" s="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1A50E18-03D0-2947-A602-42716714AF11}" sourceName="Months">
  <pivotTables>
    <pivotTable tabId="12" name="PivotTable1"/>
    <pivotTable tabId="11" name="PivotTable1"/>
    <pivotTable tabId="5" name="PivotTable1"/>
    <pivotTable tabId="20" name="PivotTable1"/>
    <pivotTable tabId="21" name="PivotTable1"/>
    <pivotTable tabId="6" name="PivotTable1"/>
    <pivotTable tabId="7" name="PivotTable1"/>
    <pivotTable tabId="8" name="PivotTable1"/>
    <pivotTable tabId="16" name="PivotTable1"/>
    <pivotTable tabId="10" name="PivotTable1"/>
    <pivotTable tabId="15" name="PivotTable1"/>
    <pivotTable tabId="9" name="PivotTable1"/>
    <pivotTable tabId="14" name="PivotTable1"/>
    <pivotTable tabId="22" name="PivotTable1"/>
    <pivotTable tabId="24" name="PivotTable1"/>
  </pivotTables>
  <data>
    <tabular pivotCacheId="613736066">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_Year" xr10:uid="{57AFBA12-C674-2D4C-BB65-2AB95BAFD260}" sourceName="Start Date Year">
  <pivotTables>
    <pivotTable tabId="11" name="PivotTable1"/>
    <pivotTable tabId="9" name="PivotTable1"/>
    <pivotTable tabId="14" name="PivotTable1"/>
    <pivotTable tabId="24" name="PivotTable1"/>
  </pivotTables>
  <data>
    <tabular pivotCacheId="61373606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_Year1" xr10:uid="{D4FF11D7-DA29-0B4F-AD73-07DC7168A0B7}" sourceName="Start Date Year">
  <pivotTables>
    <pivotTable tabId="12" name="PivotTable1"/>
    <pivotTable tabId="10" name="PivotTable1"/>
    <pivotTable tabId="15" name="PivotTable1"/>
  </pivotTables>
  <data>
    <tabular pivotCacheId="613736066">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_Year2" xr10:uid="{60FCFEE4-0C48-DB40-8E6D-A117014618CD}" sourceName="Start Date Year">
  <pivotTables>
    <pivotTable tabId="7" name="PivotTable1"/>
    <pivotTable tabId="8" name="PivotTable1"/>
    <pivotTable tabId="16" name="PivotTable1"/>
    <pivotTable tabId="5" name="PivotTable1"/>
    <pivotTable tabId="20" name="PivotTable1"/>
    <pivotTable tabId="21" name="PivotTable1"/>
    <pivotTable tabId="6" name="PivotTable1"/>
  </pivotTables>
  <data>
    <tabular pivotCacheId="6137360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Name" xr10:uid="{88FF1D1A-8B39-BA45-9C5A-E83D2AF220B7}" cache="Slicer_Client_Name" caption="Client Name" rowHeight="230716"/>
  <slicer name="Client Segment" xr10:uid="{8E4ECFEA-BFFD-3C47-BB13-FE7AC0A3D9D6}" cache="Slicer_Client_Segment" caption="Client Segment" rowHeight="230716"/>
  <slicer name="Months 1" xr10:uid="{1724625A-F019-3246-A2B2-3B677F57C7B0}" cache="Slicer_Months" caption="Months" rowHeight="230716"/>
  <slicer name="Start Date Year" xr10:uid="{5C2F9E87-C3B7-DE4F-96F3-D37243F69A0D}" cache="Slicer_Start_Date_Year" caption="Start Date Yea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Name 2" xr10:uid="{04DD4F75-57B9-FB48-B23E-EB8533ED9306}" cache="Slicer_Client_Name" caption="Client Name" rowHeight="230716"/>
  <slicer name="Client Segment 1" xr10:uid="{B305C420-25B2-2E47-838B-32C5E8F5B22C}" cache="Slicer_Client_Segment" caption="Client Segment" rowHeight="230716"/>
  <slicer name="Months" xr10:uid="{0D5E9BEE-5FCB-9643-AB3C-3F6D35F1FC00}" cache="Slicer_Months" caption="Months" rowHeight="230716"/>
  <slicer name="Start Date Year 1" xr10:uid="{78135D16-B59A-9A40-962B-EEBD11BA77CF}" cache="Slicer_Start_Date_Year1" caption="Start Date Year"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Name 3" xr10:uid="{5D953475-7805-2641-8891-A41D3E6B97B6}" cache="Slicer_Client_Name" caption="Client Name" rowHeight="230716"/>
  <slicer name="Client Segment 2" xr10:uid="{B3F7C3D6-CC75-E447-936F-7AA07C4BDA18}" cache="Slicer_Client_Segment" caption="Client Segment" rowHeight="230716"/>
  <slicer name="Months 2" xr10:uid="{76B8248A-0ED2-2A4B-B47E-A0430357D3DA}" cache="Slicer_Months" caption="Months" rowHeight="230716"/>
  <slicer name="Start Date Year 2" xr10:uid="{EC63E61F-8F50-BF4F-A79E-523F89C56A15}" cache="Slicer_Start_Date_Year2" caption="Start Date Year"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3" xr10:uid="{59EE931F-855D-494D-88B2-84652968FB76}" cache="Slicer_Months" caption="Months" startItem="6" rowHeight="230716"/>
  <slicer name="Start Date Year 3" xr10:uid="{55D3BC2D-3C68-B240-BFFC-8E8C41CB4225}" cache="Slicer_Start_Date_Year1" caption="Start Date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6A849F-5F1B-DC41-B15F-323B0F1FDE77}" name="Table1" displayName="Table1" ref="B1:AA50" totalsRowShown="0" headerRowDxfId="30" dataDxfId="28" headerRowBorderDxfId="29" tableBorderDxfId="27" totalsRowBorderDxfId="26">
  <autoFilter ref="B1:AA50" xr:uid="{C26A849F-5F1B-DC41-B15F-323B0F1FDE77}"/>
  <tableColumns count="26">
    <tableColumn id="1" xr3:uid="{54272009-263D-C541-964D-4E312E82C9F4}" name="Client Name" dataDxfId="25"/>
    <tableColumn id="3" xr3:uid="{12D7B2FD-736C-8B41-BFC0-5E98588B7589}" name="Cover Type" dataDxfId="24"/>
    <tableColumn id="4" xr3:uid="{EC9EE50E-3452-5B41-943C-A7503B6B9066}" name="Intermediary" dataDxfId="23"/>
    <tableColumn id="5" xr3:uid="{3628B224-F9A7-1749-A855-ADFDBBF7E2B5}" name="Basic Premium" dataDxfId="22" dataCellStyle="Comma"/>
    <tableColumn id="6" xr3:uid="{8CE8E925-AA42-B546-B6EF-0759B00716EE}" name="5% CBHI" dataDxfId="21" dataCellStyle="Comma">
      <calculatedColumnFormula>E2*5%</calculatedColumnFormula>
    </tableColumn>
    <tableColumn id="7" xr3:uid="{2F2912F7-2763-9045-BEFD-01B8FE5FCF8A}" name="Admin fees" dataDxfId="20" dataCellStyle="Comma"/>
    <tableColumn id="8" xr3:uid="{08BECB09-AF09-A24B-B71C-25F9F011B289}" name="Total insured Premium" dataDxfId="19" dataCellStyle="Comma">
      <calculatedColumnFormula>SUM(E2:G2)</calculatedColumnFormula>
    </tableColumn>
    <tableColumn id="9" xr3:uid="{46F9F4F9-21AE-6B4E-9C2C-76763C1D7D19}" name="Fund Amount" dataDxfId="18" dataCellStyle="Comma"/>
    <tableColumn id="10" xr3:uid="{7A62E329-8C2E-5B4E-A2B5-9C2E506DD2E2}" name="Total Premium" dataDxfId="17" dataCellStyle="Comma">
      <calculatedColumnFormula>SUM(H2:I2)</calculatedColumnFormula>
    </tableColumn>
    <tableColumn id="11" xr3:uid="{EA87702B-A7B1-E548-9EAE-CD546C0488CE}" name="Average Premium per Principal Member" dataDxfId="16" dataCellStyle="Comma">
      <calculatedColumnFormula>J2/L2</calculatedColumnFormula>
    </tableColumn>
    <tableColumn id="12" xr3:uid="{B759BB12-97CD-9445-846C-A049DF387FD6}" name="No. of Principal Member" dataDxfId="15"/>
    <tableColumn id="13" xr3:uid="{7A8FA8FE-9E60-E245-A4FC-5833B5CA722B}" name="Dependents" dataDxfId="14"/>
    <tableColumn id="14" xr3:uid="{466F7796-DFEB-B849-8652-8D1840BD240F}" name="Total lives" dataDxfId="13"/>
    <tableColumn id="15" xr3:uid="{F39C982C-D500-FD4B-8CCC-AB2C5BF81C2A}" name="START DATE" dataDxfId="12"/>
    <tableColumn id="23" xr3:uid="{C54294E7-123D-2C42-9334-D41A6DDB97D9}" name="Start Date Year" dataDxfId="11">
      <calculatedColumnFormula>YEAR(O2)</calculatedColumnFormula>
    </tableColumn>
    <tableColumn id="22" xr3:uid="{3D89BB54-CD1D-1E42-A583-5AE6C0CC0424}" name="Start Date Month" dataDxfId="10">
      <calculatedColumnFormula>MONTH(O2)</calculatedColumnFormula>
    </tableColumn>
    <tableColumn id="2" xr3:uid="{26B6BC9B-DEB7-ED46-B0D7-E147E1BB7B4B}" name="Start Date Day" dataDxfId="9">
      <calculatedColumnFormula>DAY(O2)</calculatedColumnFormula>
    </tableColumn>
    <tableColumn id="16" xr3:uid="{EAA2BDC6-068F-3044-A980-7BB950BA00E7}" name="END DATE" dataDxfId="8"/>
    <tableColumn id="26" xr3:uid="{A0E9700A-590D-9846-B6F7-FF12EC1ED379}" name="End Date Year" dataDxfId="7">
      <calculatedColumnFormula>YEAR(S2)</calculatedColumnFormula>
    </tableColumn>
    <tableColumn id="25" xr3:uid="{9E328661-04B7-B048-AB10-9823BF203AD1}" name="End Date Month" dataDxfId="6">
      <calculatedColumnFormula>MONTH(S2)</calculatedColumnFormula>
    </tableColumn>
    <tableColumn id="24" xr3:uid="{DA25B422-C367-B245-9C53-A4F2B9164145}" name="End Date Day" dataDxfId="5">
      <calculatedColumnFormula>DAY(S2)</calculatedColumnFormula>
    </tableColumn>
    <tableColumn id="17" xr3:uid="{066BE64A-B723-2B41-B16E-C5A1F0852861}" name="Weight by Staff" dataDxfId="4" dataCellStyle="Per cent">
      <calculatedColumnFormula>L2/$L$75</calculatedColumnFormula>
    </tableColumn>
    <tableColumn id="18" xr3:uid="{9C607D53-ED63-8341-BC69-B93FB53F8863}" name="Weight by Dependents" dataDxfId="3" dataCellStyle="Per cent">
      <calculatedColumnFormula>M2/$M$75</calculatedColumnFormula>
    </tableColumn>
    <tableColumn id="19" xr3:uid="{C2978B49-11CD-4E47-B965-B0D1BAF1A042}" name="Weight by Total Lives" dataDxfId="2" dataCellStyle="Per cent">
      <calculatedColumnFormula>N2/$N$75</calculatedColumnFormula>
    </tableColumn>
    <tableColumn id="20" xr3:uid="{5437348D-E949-5649-8D04-CA19F65B3230}" name="Average Number of Dependents per Employee" dataDxfId="1">
      <calculatedColumnFormula>M2/L2</calculatedColumnFormula>
    </tableColumn>
    <tableColumn id="21" xr3:uid="{0103F775-6D07-114E-B372-BB9516CD31C4}" name="Client Segment" dataDxfId="0">
      <calculatedColumnFormula>_xlfn.XLOOKUP(Table1[[#This Row],[No. of Principal Member]],Client_Segments!$A$2:$A$5,Client_Segments!$B$2:$B$5,,1)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66F7-25AF-A641-8B66-45BB92027F04}">
  <dimension ref="A1"/>
  <sheetViews>
    <sheetView tabSelected="1" topLeftCell="A11" zoomScale="90" zoomScaleNormal="90" workbookViewId="0">
      <selection activeCell="X33" sqref="X3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AF89-56D9-7443-98E7-08C7DA95D50B}">
  <dimension ref="A1:C14"/>
  <sheetViews>
    <sheetView topLeftCell="C1" workbookViewId="0">
      <selection activeCell="C20" sqref="C20"/>
    </sheetView>
  </sheetViews>
  <sheetFormatPr baseColWidth="10" defaultRowHeight="15" x14ac:dyDescent="0.2"/>
  <cols>
    <col min="1" max="1" width="12.1640625" bestFit="1" customWidth="1"/>
    <col min="2" max="2" width="15.83203125" bestFit="1" customWidth="1"/>
    <col min="3" max="3" width="23.6640625" bestFit="1" customWidth="1"/>
    <col min="4" max="5" width="18.1640625" bestFit="1" customWidth="1"/>
    <col min="6" max="6" width="23.83203125" bestFit="1" customWidth="1"/>
  </cols>
  <sheetData>
    <row r="1" spans="1:3" x14ac:dyDescent="0.2">
      <c r="A1" s="7" t="s">
        <v>22</v>
      </c>
      <c r="B1" t="s">
        <v>77</v>
      </c>
      <c r="C1" t="s">
        <v>78</v>
      </c>
    </row>
    <row r="2" spans="1:3" x14ac:dyDescent="0.2">
      <c r="A2" s="8" t="s">
        <v>139</v>
      </c>
      <c r="B2">
        <v>89</v>
      </c>
      <c r="C2" s="36">
        <v>34342584</v>
      </c>
    </row>
    <row r="3" spans="1:3" x14ac:dyDescent="0.2">
      <c r="A3" s="8" t="s">
        <v>24</v>
      </c>
      <c r="B3">
        <v>373</v>
      </c>
      <c r="C3" s="36">
        <v>97999170</v>
      </c>
    </row>
    <row r="4" spans="1:3" x14ac:dyDescent="0.2">
      <c r="A4" s="8" t="s">
        <v>25</v>
      </c>
      <c r="B4">
        <v>188</v>
      </c>
      <c r="C4" s="36">
        <v>52576486.877313644</v>
      </c>
    </row>
    <row r="5" spans="1:3" x14ac:dyDescent="0.2">
      <c r="A5" s="8" t="s">
        <v>26</v>
      </c>
      <c r="B5">
        <v>18</v>
      </c>
      <c r="C5" s="36">
        <v>2085252</v>
      </c>
    </row>
    <row r="6" spans="1:3" x14ac:dyDescent="0.2">
      <c r="A6" s="8" t="s">
        <v>27</v>
      </c>
      <c r="B6">
        <v>101</v>
      </c>
      <c r="C6" s="36">
        <v>7012981</v>
      </c>
    </row>
    <row r="7" spans="1:3" x14ac:dyDescent="0.2">
      <c r="A7" s="8" t="s">
        <v>64</v>
      </c>
      <c r="B7">
        <v>84</v>
      </c>
      <c r="C7" s="36">
        <v>28689684</v>
      </c>
    </row>
    <row r="8" spans="1:3" x14ac:dyDescent="0.2">
      <c r="A8" s="8" t="s">
        <v>65</v>
      </c>
      <c r="B8">
        <v>26</v>
      </c>
      <c r="C8" s="36">
        <v>19524879</v>
      </c>
    </row>
    <row r="9" spans="1:3" x14ac:dyDescent="0.2">
      <c r="A9" s="8" t="s">
        <v>66</v>
      </c>
      <c r="B9">
        <v>60</v>
      </c>
      <c r="C9" s="36">
        <v>19584033</v>
      </c>
    </row>
    <row r="10" spans="1:3" x14ac:dyDescent="0.2">
      <c r="A10" s="8" t="s">
        <v>67</v>
      </c>
      <c r="B10">
        <v>997</v>
      </c>
      <c r="C10" s="36">
        <v>342479305</v>
      </c>
    </row>
    <row r="11" spans="1:3" x14ac:dyDescent="0.2">
      <c r="A11" s="8" t="s">
        <v>68</v>
      </c>
      <c r="B11">
        <v>576</v>
      </c>
      <c r="C11" s="36">
        <v>185712958</v>
      </c>
    </row>
    <row r="12" spans="1:3" x14ac:dyDescent="0.2">
      <c r="A12" s="8" t="s">
        <v>121</v>
      </c>
      <c r="B12">
        <v>39</v>
      </c>
      <c r="C12" s="36">
        <v>14432836</v>
      </c>
    </row>
    <row r="13" spans="1:3" x14ac:dyDescent="0.2">
      <c r="A13" s="8" t="s">
        <v>122</v>
      </c>
      <c r="B13">
        <v>44</v>
      </c>
      <c r="C13" s="36">
        <v>20408468</v>
      </c>
    </row>
    <row r="14" spans="1:3" x14ac:dyDescent="0.2">
      <c r="A14" s="8" t="s">
        <v>23</v>
      </c>
      <c r="B14">
        <v>2595</v>
      </c>
      <c r="C14" s="36">
        <v>824848636.87731361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CB85-D5D7-A345-8F45-52391998A627}">
  <dimension ref="A1:B14"/>
  <sheetViews>
    <sheetView workbookViewId="0">
      <selection activeCell="C20" sqref="C20"/>
    </sheetView>
  </sheetViews>
  <sheetFormatPr baseColWidth="10" defaultRowHeight="15" x14ac:dyDescent="0.2"/>
  <cols>
    <col min="1" max="1" width="12.1640625" bestFit="1" customWidth="1"/>
    <col min="2" max="2" width="16.83203125" bestFit="1" customWidth="1"/>
    <col min="3" max="4" width="14.33203125" bestFit="1" customWidth="1"/>
    <col min="5" max="5" width="18.1640625" bestFit="1" customWidth="1"/>
  </cols>
  <sheetData>
    <row r="1" spans="1:2" x14ac:dyDescent="0.2">
      <c r="A1" s="7" t="s">
        <v>22</v>
      </c>
      <c r="B1" t="s">
        <v>76</v>
      </c>
    </row>
    <row r="2" spans="1:2" x14ac:dyDescent="0.2">
      <c r="A2" s="8" t="s">
        <v>139</v>
      </c>
      <c r="B2" s="35">
        <v>34342584</v>
      </c>
    </row>
    <row r="3" spans="1:2" x14ac:dyDescent="0.2">
      <c r="A3" s="8" t="s">
        <v>24</v>
      </c>
      <c r="B3" s="35">
        <v>97999170</v>
      </c>
    </row>
    <row r="4" spans="1:2" x14ac:dyDescent="0.2">
      <c r="A4" s="8" t="s">
        <v>25</v>
      </c>
      <c r="B4" s="35">
        <v>52576486.877313644</v>
      </c>
    </row>
    <row r="5" spans="1:2" x14ac:dyDescent="0.2">
      <c r="A5" s="8" t="s">
        <v>26</v>
      </c>
      <c r="B5" s="35">
        <v>2085252</v>
      </c>
    </row>
    <row r="6" spans="1:2" x14ac:dyDescent="0.2">
      <c r="A6" s="8" t="s">
        <v>27</v>
      </c>
      <c r="B6" s="35">
        <v>7012981</v>
      </c>
    </row>
    <row r="7" spans="1:2" x14ac:dyDescent="0.2">
      <c r="A7" s="8" t="s">
        <v>64</v>
      </c>
      <c r="B7" s="35">
        <v>28689684</v>
      </c>
    </row>
    <row r="8" spans="1:2" x14ac:dyDescent="0.2">
      <c r="A8" s="8" t="s">
        <v>65</v>
      </c>
      <c r="B8" s="35">
        <v>19524879</v>
      </c>
    </row>
    <row r="9" spans="1:2" x14ac:dyDescent="0.2">
      <c r="A9" s="8" t="s">
        <v>66</v>
      </c>
      <c r="B9" s="35">
        <v>19584033</v>
      </c>
    </row>
    <row r="10" spans="1:2" x14ac:dyDescent="0.2">
      <c r="A10" s="8" t="s">
        <v>67</v>
      </c>
      <c r="B10" s="35">
        <v>342479305</v>
      </c>
    </row>
    <row r="11" spans="1:2" x14ac:dyDescent="0.2">
      <c r="A11" s="8" t="s">
        <v>68</v>
      </c>
      <c r="B11" s="35">
        <v>185712958</v>
      </c>
    </row>
    <row r="12" spans="1:2" x14ac:dyDescent="0.2">
      <c r="A12" s="8" t="s">
        <v>121</v>
      </c>
      <c r="B12" s="35">
        <v>14432836</v>
      </c>
    </row>
    <row r="13" spans="1:2" x14ac:dyDescent="0.2">
      <c r="A13" s="8" t="s">
        <v>122</v>
      </c>
      <c r="B13" s="35">
        <v>20408468</v>
      </c>
    </row>
    <row r="14" spans="1:2" x14ac:dyDescent="0.2">
      <c r="A14" s="8" t="s">
        <v>23</v>
      </c>
      <c r="B14" s="35">
        <v>824848636.87731361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6CF2-3375-5F48-9A57-9B57CA5151F7}">
  <dimension ref="A1:C14"/>
  <sheetViews>
    <sheetView topLeftCell="B1" workbookViewId="0">
      <selection activeCell="C20" sqref="C20"/>
    </sheetView>
  </sheetViews>
  <sheetFormatPr baseColWidth="10" defaultRowHeight="15" x14ac:dyDescent="0.2"/>
  <cols>
    <col min="1" max="1" width="12.1640625" bestFit="1" customWidth="1"/>
    <col min="2" max="2" width="24.5" bestFit="1" customWidth="1"/>
    <col min="3" max="3" width="19.83203125" bestFit="1" customWidth="1"/>
    <col min="4" max="4" width="14.33203125" bestFit="1" customWidth="1"/>
    <col min="5" max="5" width="18.1640625" bestFit="1" customWidth="1"/>
  </cols>
  <sheetData>
    <row r="1" spans="1:3" x14ac:dyDescent="0.2">
      <c r="A1" s="7" t="s">
        <v>22</v>
      </c>
      <c r="B1" t="s">
        <v>74</v>
      </c>
      <c r="C1" t="s">
        <v>75</v>
      </c>
    </row>
    <row r="2" spans="1:3" x14ac:dyDescent="0.2">
      <c r="A2" s="8" t="s">
        <v>139</v>
      </c>
      <c r="B2">
        <v>40</v>
      </c>
      <c r="C2">
        <v>49</v>
      </c>
    </row>
    <row r="3" spans="1:3" x14ac:dyDescent="0.2">
      <c r="A3" s="8" t="s">
        <v>24</v>
      </c>
      <c r="B3">
        <v>292</v>
      </c>
      <c r="C3">
        <v>81</v>
      </c>
    </row>
    <row r="4" spans="1:3" x14ac:dyDescent="0.2">
      <c r="A4" s="8" t="s">
        <v>25</v>
      </c>
      <c r="B4">
        <v>95</v>
      </c>
      <c r="C4">
        <v>93</v>
      </c>
    </row>
    <row r="5" spans="1:3" x14ac:dyDescent="0.2">
      <c r="A5" s="8" t="s">
        <v>26</v>
      </c>
      <c r="B5">
        <v>16</v>
      </c>
      <c r="C5">
        <v>2</v>
      </c>
    </row>
    <row r="6" spans="1:3" x14ac:dyDescent="0.2">
      <c r="A6" s="8" t="s">
        <v>27</v>
      </c>
      <c r="B6">
        <v>39</v>
      </c>
      <c r="C6">
        <v>62</v>
      </c>
    </row>
    <row r="7" spans="1:3" x14ac:dyDescent="0.2">
      <c r="A7" s="8" t="s">
        <v>64</v>
      </c>
      <c r="B7">
        <v>27</v>
      </c>
      <c r="C7">
        <v>57</v>
      </c>
    </row>
    <row r="8" spans="1:3" x14ac:dyDescent="0.2">
      <c r="A8" s="8" t="s">
        <v>65</v>
      </c>
      <c r="B8">
        <v>17</v>
      </c>
      <c r="C8">
        <v>9</v>
      </c>
    </row>
    <row r="9" spans="1:3" x14ac:dyDescent="0.2">
      <c r="A9" s="8" t="s">
        <v>66</v>
      </c>
      <c r="B9">
        <v>25</v>
      </c>
      <c r="C9">
        <v>35</v>
      </c>
    </row>
    <row r="10" spans="1:3" x14ac:dyDescent="0.2">
      <c r="A10" s="8" t="s">
        <v>67</v>
      </c>
      <c r="B10">
        <v>962</v>
      </c>
      <c r="C10">
        <v>35</v>
      </c>
    </row>
    <row r="11" spans="1:3" x14ac:dyDescent="0.2">
      <c r="A11" s="8" t="s">
        <v>68</v>
      </c>
      <c r="B11">
        <v>429</v>
      </c>
      <c r="C11">
        <v>462</v>
      </c>
    </row>
    <row r="12" spans="1:3" x14ac:dyDescent="0.2">
      <c r="A12" s="8" t="s">
        <v>121</v>
      </c>
      <c r="B12">
        <v>18</v>
      </c>
      <c r="C12">
        <v>21</v>
      </c>
    </row>
    <row r="13" spans="1:3" x14ac:dyDescent="0.2">
      <c r="A13" s="8" t="s">
        <v>122</v>
      </c>
      <c r="B13">
        <v>17</v>
      </c>
      <c r="C13">
        <v>27</v>
      </c>
    </row>
    <row r="14" spans="1:3" x14ac:dyDescent="0.2">
      <c r="A14" s="8" t="s">
        <v>23</v>
      </c>
      <c r="B14">
        <v>1977</v>
      </c>
      <c r="C14">
        <v>933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8DA1-D924-214E-9D9A-A31DA1DF3994}">
  <dimension ref="A1:E15"/>
  <sheetViews>
    <sheetView workbookViewId="0">
      <selection activeCell="C20" sqref="C20"/>
    </sheetView>
  </sheetViews>
  <sheetFormatPr baseColWidth="10" defaultRowHeight="15" x14ac:dyDescent="0.2"/>
  <cols>
    <col min="1" max="1" width="26" bestFit="1" customWidth="1"/>
    <col min="2" max="3" width="16.33203125" bestFit="1" customWidth="1"/>
    <col min="4" max="6" width="17.33203125" bestFit="1" customWidth="1"/>
  </cols>
  <sheetData>
    <row r="1" spans="1:5" x14ac:dyDescent="0.2">
      <c r="A1" s="7" t="s">
        <v>79</v>
      </c>
      <c r="B1" s="7" t="s">
        <v>80</v>
      </c>
    </row>
    <row r="2" spans="1:5" x14ac:dyDescent="0.2">
      <c r="A2" s="7" t="s">
        <v>22</v>
      </c>
      <c r="B2" t="s">
        <v>57</v>
      </c>
      <c r="C2" t="s">
        <v>56</v>
      </c>
      <c r="D2" t="s">
        <v>55</v>
      </c>
      <c r="E2" t="s">
        <v>23</v>
      </c>
    </row>
    <row r="3" spans="1:5" x14ac:dyDescent="0.2">
      <c r="A3" s="8" t="s">
        <v>139</v>
      </c>
      <c r="B3" s="36"/>
      <c r="C3" s="36"/>
      <c r="D3" s="36">
        <v>36989713.200000003</v>
      </c>
      <c r="E3" s="36">
        <v>36989713.200000003</v>
      </c>
    </row>
    <row r="4" spans="1:5" x14ac:dyDescent="0.2">
      <c r="A4" s="8" t="s">
        <v>24</v>
      </c>
      <c r="B4" s="36"/>
      <c r="C4" s="36"/>
      <c r="D4" s="36">
        <v>105439128.5</v>
      </c>
      <c r="E4" s="36">
        <v>105439128.5</v>
      </c>
    </row>
    <row r="5" spans="1:5" x14ac:dyDescent="0.2">
      <c r="A5" s="8" t="s">
        <v>25</v>
      </c>
      <c r="B5" s="36"/>
      <c r="C5" s="36">
        <v>9532357.6500000004</v>
      </c>
      <c r="D5" s="36">
        <v>46222953.57117933</v>
      </c>
      <c r="E5" s="36">
        <v>55755311.221179329</v>
      </c>
    </row>
    <row r="6" spans="1:5" x14ac:dyDescent="0.2">
      <c r="A6" s="8" t="s">
        <v>26</v>
      </c>
      <c r="B6" s="36"/>
      <c r="C6" s="36"/>
      <c r="D6" s="36">
        <v>2279514.6</v>
      </c>
      <c r="E6" s="36">
        <v>2279514.6</v>
      </c>
    </row>
    <row r="7" spans="1:5" x14ac:dyDescent="0.2">
      <c r="A7" s="8" t="s">
        <v>27</v>
      </c>
      <c r="B7" s="36">
        <v>7888630.0500000007</v>
      </c>
      <c r="C7" s="36"/>
      <c r="D7" s="36"/>
      <c r="E7" s="36">
        <v>7888630.0500000007</v>
      </c>
    </row>
    <row r="8" spans="1:5" x14ac:dyDescent="0.2">
      <c r="A8" s="8" t="s">
        <v>64</v>
      </c>
      <c r="B8" s="36"/>
      <c r="C8" s="36">
        <v>30964168.199999999</v>
      </c>
      <c r="D8" s="36"/>
      <c r="E8" s="36">
        <v>30964168.199999999</v>
      </c>
    </row>
    <row r="9" spans="1:5" x14ac:dyDescent="0.2">
      <c r="A9" s="8" t="s">
        <v>65</v>
      </c>
      <c r="B9" s="36">
        <v>19750108.800000001</v>
      </c>
      <c r="C9" s="36"/>
      <c r="D9" s="36">
        <v>1011014.15</v>
      </c>
      <c r="E9" s="36">
        <v>20761122.949999999</v>
      </c>
    </row>
    <row r="10" spans="1:5" x14ac:dyDescent="0.2">
      <c r="A10" s="8" t="s">
        <v>66</v>
      </c>
      <c r="B10" s="36"/>
      <c r="C10" s="36">
        <v>20581809.949999999</v>
      </c>
      <c r="D10" s="36">
        <v>581424.69999999995</v>
      </c>
      <c r="E10" s="36">
        <v>21163234.649999999</v>
      </c>
    </row>
    <row r="11" spans="1:5" x14ac:dyDescent="0.2">
      <c r="A11" s="8" t="s">
        <v>67</v>
      </c>
      <c r="B11" s="36">
        <v>15872152.199999999</v>
      </c>
      <c r="C11" s="36"/>
      <c r="D11" s="36">
        <v>346741118.05000001</v>
      </c>
      <c r="E11" s="36">
        <v>362613270.25</v>
      </c>
    </row>
    <row r="12" spans="1:5" x14ac:dyDescent="0.2">
      <c r="A12" s="8" t="s">
        <v>68</v>
      </c>
      <c r="B12" s="36">
        <v>24688611.699999999</v>
      </c>
      <c r="C12" s="36">
        <v>5204911.25</v>
      </c>
      <c r="D12" s="36">
        <v>167209082.94999999</v>
      </c>
      <c r="E12" s="36">
        <v>197102605.89999998</v>
      </c>
    </row>
    <row r="13" spans="1:5" x14ac:dyDescent="0.2">
      <c r="A13" s="8" t="s">
        <v>121</v>
      </c>
      <c r="B13" s="36"/>
      <c r="C13" s="36"/>
      <c r="D13" s="36">
        <v>15544477.800000001</v>
      </c>
      <c r="E13" s="36">
        <v>15544477.800000001</v>
      </c>
    </row>
    <row r="14" spans="1:5" x14ac:dyDescent="0.2">
      <c r="A14" s="8" t="s">
        <v>122</v>
      </c>
      <c r="B14" s="36"/>
      <c r="C14" s="36">
        <v>16787963.100000001</v>
      </c>
      <c r="D14" s="36">
        <v>5080928.3000000007</v>
      </c>
      <c r="E14" s="36">
        <v>21868891.400000002</v>
      </c>
    </row>
    <row r="15" spans="1:5" x14ac:dyDescent="0.2">
      <c r="A15" s="8" t="s">
        <v>23</v>
      </c>
      <c r="B15" s="36">
        <v>68199502.75</v>
      </c>
      <c r="C15" s="36">
        <v>83071210.150000006</v>
      </c>
      <c r="D15" s="36">
        <v>727099355.82117915</v>
      </c>
      <c r="E15" s="36">
        <v>878370068.72117925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8AAA-504C-E945-9012-90C2F504CC7E}">
  <dimension ref="A1:E15"/>
  <sheetViews>
    <sheetView workbookViewId="0">
      <selection activeCell="C20" sqref="C20"/>
    </sheetView>
  </sheetViews>
  <sheetFormatPr baseColWidth="10" defaultRowHeight="15" x14ac:dyDescent="0.2"/>
  <cols>
    <col min="1" max="1" width="14.33203125" bestFit="1" customWidth="1"/>
    <col min="2" max="2" width="14.83203125" bestFit="1" customWidth="1"/>
    <col min="3" max="3" width="6.33203125" bestFit="1" customWidth="1"/>
    <col min="4" max="4" width="6" bestFit="1" customWidth="1"/>
    <col min="5" max="6" width="10" bestFit="1" customWidth="1"/>
  </cols>
  <sheetData>
    <row r="1" spans="1:5" x14ac:dyDescent="0.2">
      <c r="A1" s="7" t="s">
        <v>28</v>
      </c>
      <c r="B1" s="7" t="s">
        <v>80</v>
      </c>
    </row>
    <row r="2" spans="1:5" x14ac:dyDescent="0.2">
      <c r="A2" s="7" t="s">
        <v>22</v>
      </c>
      <c r="B2" t="s">
        <v>57</v>
      </c>
      <c r="C2" t="s">
        <v>56</v>
      </c>
      <c r="D2" t="s">
        <v>55</v>
      </c>
      <c r="E2" t="s">
        <v>23</v>
      </c>
    </row>
    <row r="3" spans="1:5" x14ac:dyDescent="0.2">
      <c r="A3" s="8" t="s">
        <v>139</v>
      </c>
      <c r="D3">
        <v>89</v>
      </c>
      <c r="E3">
        <v>89</v>
      </c>
    </row>
    <row r="4" spans="1:5" x14ac:dyDescent="0.2">
      <c r="A4" s="8" t="s">
        <v>24</v>
      </c>
      <c r="D4">
        <v>373</v>
      </c>
      <c r="E4">
        <v>373</v>
      </c>
    </row>
    <row r="5" spans="1:5" x14ac:dyDescent="0.2">
      <c r="A5" s="8" t="s">
        <v>25</v>
      </c>
      <c r="C5">
        <v>48</v>
      </c>
      <c r="D5">
        <v>140</v>
      </c>
      <c r="E5">
        <v>188</v>
      </c>
    </row>
    <row r="6" spans="1:5" x14ac:dyDescent="0.2">
      <c r="A6" s="8" t="s">
        <v>26</v>
      </c>
      <c r="D6">
        <v>18</v>
      </c>
      <c r="E6">
        <v>18</v>
      </c>
    </row>
    <row r="7" spans="1:5" x14ac:dyDescent="0.2">
      <c r="A7" s="8" t="s">
        <v>27</v>
      </c>
      <c r="B7">
        <v>101</v>
      </c>
      <c r="E7">
        <v>101</v>
      </c>
    </row>
    <row r="8" spans="1:5" x14ac:dyDescent="0.2">
      <c r="A8" s="8" t="s">
        <v>64</v>
      </c>
      <c r="C8">
        <v>84</v>
      </c>
      <c r="E8">
        <v>84</v>
      </c>
    </row>
    <row r="9" spans="1:5" x14ac:dyDescent="0.2">
      <c r="A9" s="8" t="s">
        <v>65</v>
      </c>
      <c r="B9">
        <v>24</v>
      </c>
      <c r="D9">
        <v>2</v>
      </c>
      <c r="E9">
        <v>26</v>
      </c>
    </row>
    <row r="10" spans="1:5" x14ac:dyDescent="0.2">
      <c r="A10" s="8" t="s">
        <v>66</v>
      </c>
      <c r="C10">
        <v>59</v>
      </c>
      <c r="D10">
        <v>1</v>
      </c>
      <c r="E10">
        <v>60</v>
      </c>
    </row>
    <row r="11" spans="1:5" x14ac:dyDescent="0.2">
      <c r="A11" s="8" t="s">
        <v>67</v>
      </c>
      <c r="B11">
        <v>45</v>
      </c>
      <c r="D11">
        <v>952</v>
      </c>
      <c r="E11">
        <v>997</v>
      </c>
    </row>
    <row r="12" spans="1:5" x14ac:dyDescent="0.2">
      <c r="A12" s="8" t="s">
        <v>68</v>
      </c>
      <c r="B12">
        <v>68</v>
      </c>
      <c r="C12">
        <v>14</v>
      </c>
      <c r="D12">
        <v>494</v>
      </c>
      <c r="E12">
        <v>576</v>
      </c>
    </row>
    <row r="13" spans="1:5" x14ac:dyDescent="0.2">
      <c r="A13" s="8" t="s">
        <v>121</v>
      </c>
      <c r="D13">
        <v>39</v>
      </c>
      <c r="E13">
        <v>39</v>
      </c>
    </row>
    <row r="14" spans="1:5" x14ac:dyDescent="0.2">
      <c r="A14" s="8" t="s">
        <v>122</v>
      </c>
      <c r="C14">
        <v>30</v>
      </c>
      <c r="D14">
        <v>14</v>
      </c>
      <c r="E14">
        <v>44</v>
      </c>
    </row>
    <row r="15" spans="1:5" x14ac:dyDescent="0.2">
      <c r="A15" s="8" t="s">
        <v>23</v>
      </c>
      <c r="B15">
        <v>238</v>
      </c>
      <c r="C15">
        <v>235</v>
      </c>
      <c r="D15">
        <v>2122</v>
      </c>
      <c r="E15">
        <v>2595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9B19-067C-C345-89A3-0E04FC9534F8}">
  <dimension ref="A1:F15"/>
  <sheetViews>
    <sheetView topLeftCell="B1" workbookViewId="0">
      <selection activeCell="C20" sqref="C20"/>
    </sheetView>
  </sheetViews>
  <sheetFormatPr baseColWidth="10" defaultRowHeight="15" x14ac:dyDescent="0.2"/>
  <cols>
    <col min="1" max="1" width="26" bestFit="1" customWidth="1"/>
    <col min="2" max="6" width="17.33203125" bestFit="1" customWidth="1"/>
  </cols>
  <sheetData>
    <row r="1" spans="1:6" x14ac:dyDescent="0.2">
      <c r="A1" s="7" t="s">
        <v>79</v>
      </c>
      <c r="B1" s="7" t="s">
        <v>80</v>
      </c>
    </row>
    <row r="2" spans="1:6" x14ac:dyDescent="0.2">
      <c r="A2" s="7" t="s">
        <v>22</v>
      </c>
      <c r="B2" t="s">
        <v>89</v>
      </c>
      <c r="C2" t="s">
        <v>88</v>
      </c>
      <c r="D2" t="s">
        <v>86</v>
      </c>
      <c r="E2" t="s">
        <v>87</v>
      </c>
      <c r="F2" t="s">
        <v>23</v>
      </c>
    </row>
    <row r="3" spans="1:6" x14ac:dyDescent="0.2">
      <c r="A3" s="8" t="s">
        <v>139</v>
      </c>
      <c r="B3" s="36">
        <v>36989713.200000003</v>
      </c>
      <c r="C3" s="36"/>
      <c r="D3" s="36"/>
      <c r="E3" s="36"/>
      <c r="F3" s="36">
        <v>36989713.200000003</v>
      </c>
    </row>
    <row r="4" spans="1:6" x14ac:dyDescent="0.2">
      <c r="A4" s="8" t="s">
        <v>24</v>
      </c>
      <c r="B4" s="36">
        <v>19723411.599999998</v>
      </c>
      <c r="C4" s="36">
        <v>75096515</v>
      </c>
      <c r="D4" s="36"/>
      <c r="E4" s="36">
        <v>10619201.9</v>
      </c>
      <c r="F4" s="36">
        <v>105439128.5</v>
      </c>
    </row>
    <row r="5" spans="1:6" x14ac:dyDescent="0.2">
      <c r="A5" s="8" t="s">
        <v>25</v>
      </c>
      <c r="B5" s="36">
        <v>4049817.1</v>
      </c>
      <c r="C5" s="36">
        <v>51705494.121179327</v>
      </c>
      <c r="D5" s="36"/>
      <c r="E5" s="36"/>
      <c r="F5" s="36">
        <v>55755311.221179329</v>
      </c>
    </row>
    <row r="6" spans="1:6" x14ac:dyDescent="0.2">
      <c r="A6" s="8" t="s">
        <v>26</v>
      </c>
      <c r="B6" s="36">
        <v>2279514.6</v>
      </c>
      <c r="C6" s="36"/>
      <c r="D6" s="36"/>
      <c r="E6" s="36"/>
      <c r="F6" s="36">
        <v>2279514.6</v>
      </c>
    </row>
    <row r="7" spans="1:6" x14ac:dyDescent="0.2">
      <c r="A7" s="8" t="s">
        <v>27</v>
      </c>
      <c r="B7" s="36">
        <v>2439220.6</v>
      </c>
      <c r="C7" s="36">
        <v>5449409.4500000002</v>
      </c>
      <c r="D7" s="36"/>
      <c r="E7" s="36"/>
      <c r="F7" s="36">
        <v>7888630.0500000007</v>
      </c>
    </row>
    <row r="8" spans="1:6" x14ac:dyDescent="0.2">
      <c r="A8" s="8" t="s">
        <v>64</v>
      </c>
      <c r="B8" s="36">
        <v>30964168.199999999</v>
      </c>
      <c r="C8" s="36"/>
      <c r="D8" s="36"/>
      <c r="E8" s="36"/>
      <c r="F8" s="36">
        <v>30964168.199999999</v>
      </c>
    </row>
    <row r="9" spans="1:6" x14ac:dyDescent="0.2">
      <c r="A9" s="8" t="s">
        <v>65</v>
      </c>
      <c r="B9" s="36">
        <v>20761122.949999999</v>
      </c>
      <c r="C9" s="36"/>
      <c r="D9" s="36"/>
      <c r="E9" s="36"/>
      <c r="F9" s="36">
        <v>20761122.949999999</v>
      </c>
    </row>
    <row r="10" spans="1:6" x14ac:dyDescent="0.2">
      <c r="A10" s="8" t="s">
        <v>66</v>
      </c>
      <c r="B10" s="36">
        <v>21163234.649999999</v>
      </c>
      <c r="C10" s="36"/>
      <c r="D10" s="36"/>
      <c r="E10" s="36"/>
      <c r="F10" s="36">
        <v>21163234.649999999</v>
      </c>
    </row>
    <row r="11" spans="1:6" x14ac:dyDescent="0.2">
      <c r="A11" s="8" t="s">
        <v>67</v>
      </c>
      <c r="B11" s="36">
        <v>21817179.149999999</v>
      </c>
      <c r="C11" s="36"/>
      <c r="D11" s="36">
        <v>340796091.10000002</v>
      </c>
      <c r="E11" s="36"/>
      <c r="F11" s="36">
        <v>362613270.25</v>
      </c>
    </row>
    <row r="12" spans="1:6" x14ac:dyDescent="0.2">
      <c r="A12" s="8" t="s">
        <v>68</v>
      </c>
      <c r="B12" s="36">
        <v>37827775.899999999</v>
      </c>
      <c r="C12" s="36"/>
      <c r="D12" s="36"/>
      <c r="E12" s="36">
        <v>159274830</v>
      </c>
      <c r="F12" s="36">
        <v>197102605.90000001</v>
      </c>
    </row>
    <row r="13" spans="1:6" x14ac:dyDescent="0.2">
      <c r="A13" s="8" t="s">
        <v>121</v>
      </c>
      <c r="B13" s="36">
        <v>15544477.800000001</v>
      </c>
      <c r="C13" s="36"/>
      <c r="D13" s="36"/>
      <c r="E13" s="36"/>
      <c r="F13" s="36">
        <v>15544477.800000001</v>
      </c>
    </row>
    <row r="14" spans="1:6" x14ac:dyDescent="0.2">
      <c r="A14" s="8" t="s">
        <v>122</v>
      </c>
      <c r="B14" s="36">
        <v>21868891.400000002</v>
      </c>
      <c r="C14" s="36"/>
      <c r="D14" s="36"/>
      <c r="E14" s="36"/>
      <c r="F14" s="36">
        <v>21868891.400000002</v>
      </c>
    </row>
    <row r="15" spans="1:6" x14ac:dyDescent="0.2">
      <c r="A15" s="8" t="s">
        <v>23</v>
      </c>
      <c r="B15" s="36">
        <v>235428527.15000004</v>
      </c>
      <c r="C15" s="36">
        <v>132251418.57117933</v>
      </c>
      <c r="D15" s="36">
        <v>340796091.10000002</v>
      </c>
      <c r="E15" s="36">
        <v>169894031.90000001</v>
      </c>
      <c r="F15" s="36">
        <v>878370068.72117925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8E4E-18C3-BF49-876F-804D238B97FC}">
  <dimension ref="A1:F15"/>
  <sheetViews>
    <sheetView workbookViewId="0">
      <selection activeCell="C20" sqref="C20"/>
    </sheetView>
  </sheetViews>
  <sheetFormatPr baseColWidth="10" defaultRowHeight="15" x14ac:dyDescent="0.2"/>
  <cols>
    <col min="1" max="1" width="14.33203125" bestFit="1" customWidth="1"/>
    <col min="2" max="2" width="14.83203125" bestFit="1" customWidth="1"/>
    <col min="3" max="3" width="5.6640625" bestFit="1" customWidth="1"/>
    <col min="4" max="4" width="6.83203125" bestFit="1" customWidth="1"/>
    <col min="5" max="5" width="8.6640625" bestFit="1" customWidth="1"/>
    <col min="6" max="6" width="10" bestFit="1" customWidth="1"/>
  </cols>
  <sheetData>
    <row r="1" spans="1:6" x14ac:dyDescent="0.2">
      <c r="A1" s="7" t="s">
        <v>28</v>
      </c>
      <c r="B1" s="7" t="s">
        <v>80</v>
      </c>
    </row>
    <row r="2" spans="1:6" x14ac:dyDescent="0.2">
      <c r="A2" s="7" t="s">
        <v>22</v>
      </c>
      <c r="B2" t="s">
        <v>89</v>
      </c>
      <c r="C2" t="s">
        <v>88</v>
      </c>
      <c r="D2" t="s">
        <v>86</v>
      </c>
      <c r="E2" t="s">
        <v>87</v>
      </c>
      <c r="F2" t="s">
        <v>23</v>
      </c>
    </row>
    <row r="3" spans="1:6" x14ac:dyDescent="0.2">
      <c r="A3" s="8" t="s">
        <v>139</v>
      </c>
      <c r="B3">
        <v>89</v>
      </c>
      <c r="F3">
        <v>89</v>
      </c>
    </row>
    <row r="4" spans="1:6" x14ac:dyDescent="0.2">
      <c r="A4" s="8" t="s">
        <v>24</v>
      </c>
      <c r="B4">
        <v>34</v>
      </c>
      <c r="C4">
        <v>187</v>
      </c>
      <c r="E4">
        <v>152</v>
      </c>
      <c r="F4">
        <v>373</v>
      </c>
    </row>
    <row r="5" spans="1:6" x14ac:dyDescent="0.2">
      <c r="A5" s="8" t="s">
        <v>25</v>
      </c>
      <c r="B5">
        <v>7</v>
      </c>
      <c r="C5">
        <v>181</v>
      </c>
      <c r="F5">
        <v>188</v>
      </c>
    </row>
    <row r="6" spans="1:6" x14ac:dyDescent="0.2">
      <c r="A6" s="8" t="s">
        <v>26</v>
      </c>
      <c r="B6">
        <v>18</v>
      </c>
      <c r="F6">
        <v>18</v>
      </c>
    </row>
    <row r="7" spans="1:6" x14ac:dyDescent="0.2">
      <c r="A7" s="8" t="s">
        <v>27</v>
      </c>
      <c r="B7">
        <v>4</v>
      </c>
      <c r="C7">
        <v>97</v>
      </c>
      <c r="F7">
        <v>101</v>
      </c>
    </row>
    <row r="8" spans="1:6" x14ac:dyDescent="0.2">
      <c r="A8" s="8" t="s">
        <v>64</v>
      </c>
      <c r="B8">
        <v>84</v>
      </c>
      <c r="F8">
        <v>84</v>
      </c>
    </row>
    <row r="9" spans="1:6" x14ac:dyDescent="0.2">
      <c r="A9" s="8" t="s">
        <v>65</v>
      </c>
      <c r="B9">
        <v>26</v>
      </c>
      <c r="F9">
        <v>26</v>
      </c>
    </row>
    <row r="10" spans="1:6" x14ac:dyDescent="0.2">
      <c r="A10" s="8" t="s">
        <v>66</v>
      </c>
      <c r="B10">
        <v>60</v>
      </c>
      <c r="F10">
        <v>60</v>
      </c>
    </row>
    <row r="11" spans="1:6" x14ac:dyDescent="0.2">
      <c r="A11" s="8" t="s">
        <v>67</v>
      </c>
      <c r="B11">
        <v>69</v>
      </c>
      <c r="D11">
        <v>928</v>
      </c>
      <c r="F11">
        <v>997</v>
      </c>
    </row>
    <row r="12" spans="1:6" x14ac:dyDescent="0.2">
      <c r="A12" s="8" t="s">
        <v>68</v>
      </c>
      <c r="B12">
        <v>101</v>
      </c>
      <c r="E12">
        <v>475</v>
      </c>
      <c r="F12">
        <v>576</v>
      </c>
    </row>
    <row r="13" spans="1:6" x14ac:dyDescent="0.2">
      <c r="A13" s="8" t="s">
        <v>121</v>
      </c>
      <c r="B13">
        <v>39</v>
      </c>
      <c r="F13">
        <v>39</v>
      </c>
    </row>
    <row r="14" spans="1:6" x14ac:dyDescent="0.2">
      <c r="A14" s="8" t="s">
        <v>122</v>
      </c>
      <c r="B14">
        <v>44</v>
      </c>
      <c r="F14">
        <v>44</v>
      </c>
    </row>
    <row r="15" spans="1:6" x14ac:dyDescent="0.2">
      <c r="A15" s="8" t="s">
        <v>23</v>
      </c>
      <c r="B15">
        <v>575</v>
      </c>
      <c r="C15">
        <v>465</v>
      </c>
      <c r="D15">
        <v>928</v>
      </c>
      <c r="E15">
        <v>627</v>
      </c>
      <c r="F15">
        <v>2595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C0246-A05E-C142-8773-800959BDE77E}">
  <dimension ref="A1:J6"/>
  <sheetViews>
    <sheetView zoomScale="110" zoomScaleNormal="110" workbookViewId="0">
      <pane xSplit="1" ySplit="1" topLeftCell="B2" activePane="bottomRight" state="frozen"/>
      <selection pane="topRight" activeCell="B1" sqref="B1"/>
      <selection pane="bottomLeft" activeCell="A2" sqref="A2"/>
      <selection pane="bottomRight" activeCell="A5" sqref="A5"/>
    </sheetView>
  </sheetViews>
  <sheetFormatPr baseColWidth="10" defaultRowHeight="15" x14ac:dyDescent="0.2"/>
  <cols>
    <col min="1" max="1" width="12.1640625" bestFit="1" customWidth="1"/>
    <col min="2" max="2" width="20" bestFit="1" customWidth="1"/>
    <col min="3" max="3" width="32.6640625" bestFit="1" customWidth="1"/>
    <col min="4" max="4" width="24.6640625" bestFit="1" customWidth="1"/>
    <col min="5" max="5" width="15.1640625" bestFit="1" customWidth="1"/>
    <col min="6" max="6" width="28.5" bestFit="1" customWidth="1"/>
    <col min="7" max="7" width="39.33203125" bestFit="1" customWidth="1"/>
    <col min="8" max="8" width="46.33203125" bestFit="1" customWidth="1"/>
  </cols>
  <sheetData>
    <row r="1" spans="1:10" x14ac:dyDescent="0.2">
      <c r="A1" s="7" t="s">
        <v>22</v>
      </c>
      <c r="B1" t="s">
        <v>93</v>
      </c>
      <c r="C1" t="s">
        <v>97</v>
      </c>
      <c r="D1" t="s">
        <v>98</v>
      </c>
      <c r="E1" t="s">
        <v>96</v>
      </c>
      <c r="F1" t="s">
        <v>94</v>
      </c>
      <c r="G1" t="s">
        <v>95</v>
      </c>
      <c r="H1" t="s">
        <v>99</v>
      </c>
    </row>
    <row r="2" spans="1:10" x14ac:dyDescent="0.2">
      <c r="A2" s="8" t="s">
        <v>88</v>
      </c>
      <c r="B2">
        <v>6</v>
      </c>
      <c r="C2">
        <v>243</v>
      </c>
      <c r="D2">
        <v>222</v>
      </c>
      <c r="E2">
        <v>465</v>
      </c>
      <c r="F2" s="35">
        <v>132251418.57117933</v>
      </c>
      <c r="G2" s="35">
        <v>544244.52086905076</v>
      </c>
      <c r="H2" s="9">
        <v>0.97332037622500855</v>
      </c>
      <c r="J2" s="43"/>
    </row>
    <row r="3" spans="1:10" x14ac:dyDescent="0.2">
      <c r="A3" s="8" t="s">
        <v>89</v>
      </c>
      <c r="B3">
        <v>40</v>
      </c>
      <c r="C3">
        <v>259</v>
      </c>
      <c r="D3">
        <v>316</v>
      </c>
      <c r="E3">
        <v>575</v>
      </c>
      <c r="F3" s="35">
        <v>235428527.15000001</v>
      </c>
      <c r="G3" s="35">
        <v>908990.45231660234</v>
      </c>
      <c r="H3" s="9">
        <v>1.0910903679653678</v>
      </c>
      <c r="J3" s="43"/>
    </row>
    <row r="4" spans="1:10" x14ac:dyDescent="0.2">
      <c r="A4" s="8" t="s">
        <v>87</v>
      </c>
      <c r="B4">
        <v>2</v>
      </c>
      <c r="C4">
        <v>547</v>
      </c>
      <c r="D4">
        <v>395</v>
      </c>
      <c r="E4">
        <v>627</v>
      </c>
      <c r="F4" s="35">
        <v>169894031.90000001</v>
      </c>
      <c r="G4" s="35">
        <v>310592.38007312617</v>
      </c>
      <c r="H4" s="9">
        <v>0.5</v>
      </c>
      <c r="J4" s="43"/>
    </row>
    <row r="5" spans="1:10" x14ac:dyDescent="0.2">
      <c r="A5" s="8" t="s">
        <v>86</v>
      </c>
      <c r="B5">
        <v>1</v>
      </c>
      <c r="C5">
        <v>928</v>
      </c>
      <c r="D5">
        <v>0</v>
      </c>
      <c r="E5">
        <v>928</v>
      </c>
      <c r="F5" s="35">
        <v>340796091.10000002</v>
      </c>
      <c r="G5" s="35">
        <v>367237.16713362071</v>
      </c>
      <c r="H5" s="9">
        <v>0</v>
      </c>
      <c r="J5" s="43"/>
    </row>
    <row r="6" spans="1:10" x14ac:dyDescent="0.2">
      <c r="A6" s="8" t="s">
        <v>23</v>
      </c>
      <c r="B6">
        <v>49</v>
      </c>
      <c r="C6">
        <v>1977</v>
      </c>
      <c r="D6">
        <v>933</v>
      </c>
      <c r="E6">
        <v>2595</v>
      </c>
      <c r="F6" s="35">
        <v>878370068.72117925</v>
      </c>
      <c r="G6" s="35">
        <v>444294.42019280692</v>
      </c>
      <c r="H6" s="9">
        <v>1.0302762648156074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11B0-7493-3F4D-9A9A-0960146F0806}">
  <dimension ref="A1:E50"/>
  <sheetViews>
    <sheetView workbookViewId="0"/>
  </sheetViews>
  <sheetFormatPr baseColWidth="10" defaultRowHeight="15" x14ac:dyDescent="0.2"/>
  <cols>
    <col min="1" max="1" width="38" bestFit="1" customWidth="1"/>
    <col min="2" max="2" width="24.5" bestFit="1" customWidth="1"/>
    <col min="3" max="3" width="25.83203125" bestFit="1" customWidth="1"/>
    <col min="4" max="5" width="46.33203125" bestFit="1" customWidth="1"/>
    <col min="6" max="6" width="43.33203125" bestFit="1" customWidth="1"/>
  </cols>
  <sheetData>
    <row r="1" spans="1:4" x14ac:dyDescent="0.2">
      <c r="A1" s="7" t="s">
        <v>22</v>
      </c>
      <c r="B1" t="s">
        <v>74</v>
      </c>
      <c r="C1" t="s">
        <v>92</v>
      </c>
      <c r="D1" t="s">
        <v>100</v>
      </c>
    </row>
    <row r="2" spans="1:4" x14ac:dyDescent="0.2">
      <c r="A2" s="8" t="s">
        <v>61</v>
      </c>
      <c r="B2" s="34">
        <v>9</v>
      </c>
      <c r="C2" s="35">
        <v>3071832.5</v>
      </c>
      <c r="D2" s="9">
        <v>0.88888888888888884</v>
      </c>
    </row>
    <row r="3" spans="1:4" x14ac:dyDescent="0.2">
      <c r="A3" s="8" t="s">
        <v>58</v>
      </c>
      <c r="B3" s="34">
        <v>1</v>
      </c>
      <c r="C3" s="35">
        <v>581424.69999999995</v>
      </c>
      <c r="D3" s="9">
        <v>0</v>
      </c>
    </row>
    <row r="4" spans="1:4" x14ac:dyDescent="0.2">
      <c r="A4" s="8" t="s">
        <v>7</v>
      </c>
      <c r="B4" s="34">
        <v>63</v>
      </c>
      <c r="C4" s="35">
        <v>50548483.849999994</v>
      </c>
      <c r="D4" s="9">
        <v>0.82106854838709675</v>
      </c>
    </row>
    <row r="5" spans="1:4" x14ac:dyDescent="0.2">
      <c r="A5" s="8" t="s">
        <v>10</v>
      </c>
      <c r="B5" s="34">
        <v>4</v>
      </c>
      <c r="C5" s="35">
        <v>4049817.1</v>
      </c>
      <c r="D5" s="9">
        <v>0.75</v>
      </c>
    </row>
    <row r="6" spans="1:4" x14ac:dyDescent="0.2">
      <c r="A6" s="8" t="s">
        <v>60</v>
      </c>
      <c r="B6" s="34">
        <v>4</v>
      </c>
      <c r="C6" s="35">
        <v>2873194.45</v>
      </c>
      <c r="D6" s="9">
        <v>0.75</v>
      </c>
    </row>
    <row r="7" spans="1:4" x14ac:dyDescent="0.2">
      <c r="A7" s="8" t="s">
        <v>59</v>
      </c>
      <c r="B7" s="34">
        <v>21</v>
      </c>
      <c r="C7" s="35">
        <v>15872152.199999999</v>
      </c>
      <c r="D7" s="9">
        <v>1.1428571428571428</v>
      </c>
    </row>
    <row r="8" spans="1:4" x14ac:dyDescent="0.2">
      <c r="A8" s="8" t="s">
        <v>8</v>
      </c>
      <c r="B8" s="34">
        <v>48</v>
      </c>
      <c r="C8" s="35">
        <v>9532357.6500000004</v>
      </c>
      <c r="D8" s="9">
        <v>0</v>
      </c>
    </row>
    <row r="9" spans="1:4" x14ac:dyDescent="0.2">
      <c r="A9" s="8" t="s">
        <v>62</v>
      </c>
      <c r="B9" s="34">
        <v>1</v>
      </c>
      <c r="C9" s="35">
        <v>1662926.4</v>
      </c>
      <c r="D9" s="9">
        <v>2</v>
      </c>
    </row>
    <row r="10" spans="1:4" x14ac:dyDescent="0.2">
      <c r="A10" s="8" t="s">
        <v>9</v>
      </c>
      <c r="B10" s="34">
        <v>43</v>
      </c>
      <c r="C10" s="35">
        <v>42173136.471179329</v>
      </c>
      <c r="D10" s="9">
        <v>2.0930232558139537</v>
      </c>
    </row>
    <row r="11" spans="1:4" x14ac:dyDescent="0.2">
      <c r="A11" s="8" t="s">
        <v>51</v>
      </c>
      <c r="B11" s="34">
        <v>1</v>
      </c>
      <c r="C11" s="35">
        <v>512891.2</v>
      </c>
      <c r="D11" s="9">
        <v>0</v>
      </c>
    </row>
    <row r="12" spans="1:4" x14ac:dyDescent="0.2">
      <c r="A12" s="8" t="s">
        <v>50</v>
      </c>
      <c r="B12" s="34">
        <v>1</v>
      </c>
      <c r="C12" s="35">
        <v>498122.95</v>
      </c>
      <c r="D12" s="9">
        <v>0</v>
      </c>
    </row>
    <row r="13" spans="1:4" x14ac:dyDescent="0.2">
      <c r="A13" s="8" t="s">
        <v>52</v>
      </c>
      <c r="B13" s="34">
        <v>5</v>
      </c>
      <c r="C13" s="35">
        <v>6330164.3499999996</v>
      </c>
      <c r="D13" s="9">
        <v>2.2000000000000002</v>
      </c>
    </row>
    <row r="14" spans="1:4" x14ac:dyDescent="0.2">
      <c r="A14" s="8" t="s">
        <v>11</v>
      </c>
      <c r="B14" s="34">
        <v>4</v>
      </c>
      <c r="C14" s="35">
        <v>2439220.6</v>
      </c>
      <c r="D14" s="9">
        <v>0</v>
      </c>
    </row>
    <row r="15" spans="1:4" x14ac:dyDescent="0.2">
      <c r="A15" s="8" t="s">
        <v>12</v>
      </c>
      <c r="B15" s="34">
        <v>35</v>
      </c>
      <c r="C15" s="35">
        <v>5449409.4500000002</v>
      </c>
      <c r="D15" s="9">
        <v>1.7714285714285714</v>
      </c>
    </row>
    <row r="16" spans="1:4" x14ac:dyDescent="0.2">
      <c r="A16" s="8" t="s">
        <v>53</v>
      </c>
      <c r="B16" s="34">
        <v>15</v>
      </c>
      <c r="C16" s="35">
        <v>19750108.800000001</v>
      </c>
      <c r="D16" s="9">
        <v>0.6</v>
      </c>
    </row>
    <row r="17" spans="1:5" x14ac:dyDescent="0.2">
      <c r="A17" s="8" t="s">
        <v>101</v>
      </c>
      <c r="B17" s="34">
        <v>1</v>
      </c>
      <c r="C17" s="35">
        <v>1576442.95</v>
      </c>
      <c r="D17" s="9">
        <v>3</v>
      </c>
    </row>
    <row r="18" spans="1:5" x14ac:dyDescent="0.2">
      <c r="A18" s="8" t="s">
        <v>102</v>
      </c>
      <c r="B18" s="34">
        <v>5</v>
      </c>
      <c r="C18" s="35">
        <v>2661473.5</v>
      </c>
      <c r="D18" s="9">
        <v>0.4</v>
      </c>
    </row>
    <row r="19" spans="1:5" x14ac:dyDescent="0.2">
      <c r="A19" s="8" t="s">
        <v>103</v>
      </c>
      <c r="B19" s="34">
        <v>16</v>
      </c>
      <c r="C19" s="35">
        <v>2279514.6</v>
      </c>
      <c r="D19" s="9">
        <v>0.125</v>
      </c>
    </row>
    <row r="20" spans="1:5" x14ac:dyDescent="0.2">
      <c r="A20" s="8" t="s">
        <v>104</v>
      </c>
      <c r="B20" s="34">
        <v>20</v>
      </c>
      <c r="C20" s="35">
        <v>22471692.149999999</v>
      </c>
      <c r="D20" s="9">
        <v>2</v>
      </c>
    </row>
    <row r="21" spans="1:5" x14ac:dyDescent="0.2">
      <c r="A21" s="8" t="s">
        <v>105</v>
      </c>
      <c r="B21" s="34">
        <v>2</v>
      </c>
      <c r="C21" s="35">
        <v>2162311.7000000002</v>
      </c>
      <c r="D21" s="9">
        <v>3</v>
      </c>
    </row>
    <row r="22" spans="1:5" x14ac:dyDescent="0.2">
      <c r="A22" s="8" t="s">
        <v>106</v>
      </c>
      <c r="B22" s="34">
        <v>6</v>
      </c>
      <c r="C22" s="35">
        <v>6376120.5999999996</v>
      </c>
      <c r="D22" s="9">
        <v>2.6666666666666665</v>
      </c>
    </row>
    <row r="23" spans="1:5" x14ac:dyDescent="0.2">
      <c r="A23" s="8" t="s">
        <v>107</v>
      </c>
      <c r="B23" s="34">
        <v>18</v>
      </c>
      <c r="C23" s="35">
        <v>14205689.35</v>
      </c>
      <c r="D23" s="9">
        <v>1.0555555555555556</v>
      </c>
    </row>
    <row r="24" spans="1:5" x14ac:dyDescent="0.2">
      <c r="A24" s="8" t="s">
        <v>108</v>
      </c>
      <c r="B24" s="34">
        <v>928</v>
      </c>
      <c r="C24" s="35">
        <v>340796091.10000002</v>
      </c>
      <c r="D24" s="9">
        <v>0</v>
      </c>
    </row>
    <row r="25" spans="1:5" x14ac:dyDescent="0.2">
      <c r="A25" s="8" t="s">
        <v>109</v>
      </c>
      <c r="B25" s="34">
        <v>395</v>
      </c>
      <c r="C25" s="35">
        <v>159274830</v>
      </c>
      <c r="D25" s="9">
        <v>1</v>
      </c>
    </row>
    <row r="26" spans="1:5" x14ac:dyDescent="0.2">
      <c r="A26" s="8" t="s">
        <v>110</v>
      </c>
      <c r="B26" s="34">
        <v>20</v>
      </c>
      <c r="C26" s="35">
        <v>24688611.699999999</v>
      </c>
      <c r="D26" s="9">
        <v>2.4</v>
      </c>
    </row>
    <row r="27" spans="1:5" x14ac:dyDescent="0.2">
      <c r="A27" s="8" t="s">
        <v>112</v>
      </c>
      <c r="B27" s="34">
        <v>3</v>
      </c>
      <c r="C27" s="35">
        <v>2033410.1</v>
      </c>
      <c r="D27" s="9">
        <v>0.66666666666666663</v>
      </c>
    </row>
    <row r="28" spans="1:5" x14ac:dyDescent="0.2">
      <c r="A28" s="8" t="s">
        <v>113</v>
      </c>
      <c r="B28" s="34">
        <v>4</v>
      </c>
      <c r="C28" s="35">
        <v>5204911.25</v>
      </c>
      <c r="D28" s="9">
        <v>2.5</v>
      </c>
      <c r="E28" s="9"/>
    </row>
    <row r="29" spans="1:5" x14ac:dyDescent="0.2">
      <c r="A29" s="8" t="s">
        <v>114</v>
      </c>
      <c r="B29" s="34">
        <v>1</v>
      </c>
      <c r="C29" s="35">
        <v>498063.1</v>
      </c>
      <c r="D29" s="9">
        <v>0</v>
      </c>
      <c r="E29" s="9"/>
    </row>
    <row r="30" spans="1:5" x14ac:dyDescent="0.2">
      <c r="A30" s="8" t="s">
        <v>115</v>
      </c>
      <c r="B30" s="34">
        <v>15</v>
      </c>
      <c r="C30" s="35">
        <v>13147099.9</v>
      </c>
      <c r="D30" s="9">
        <v>1.2666666666666666</v>
      </c>
      <c r="E30" s="9"/>
    </row>
    <row r="31" spans="1:5" x14ac:dyDescent="0.2">
      <c r="A31" s="8" t="s">
        <v>116</v>
      </c>
      <c r="B31" s="34">
        <v>1</v>
      </c>
      <c r="C31" s="35">
        <v>661090.30000000005</v>
      </c>
      <c r="D31" s="9">
        <v>0</v>
      </c>
      <c r="E31" s="9"/>
    </row>
    <row r="32" spans="1:5" x14ac:dyDescent="0.2">
      <c r="A32" s="8" t="s">
        <v>117</v>
      </c>
      <c r="B32" s="34">
        <v>1</v>
      </c>
      <c r="C32" s="35">
        <v>1238224.5</v>
      </c>
      <c r="D32" s="9">
        <v>2</v>
      </c>
      <c r="E32" s="9"/>
    </row>
    <row r="33" spans="1:5" x14ac:dyDescent="0.2">
      <c r="A33" s="8" t="s">
        <v>118</v>
      </c>
      <c r="B33" s="34">
        <v>5</v>
      </c>
      <c r="C33" s="35">
        <v>4590235.1500000004</v>
      </c>
      <c r="D33" s="9">
        <v>1.6</v>
      </c>
      <c r="E33" s="9"/>
    </row>
    <row r="34" spans="1:5" x14ac:dyDescent="0.2">
      <c r="A34" s="8" t="s">
        <v>119</v>
      </c>
      <c r="B34" s="34">
        <v>1</v>
      </c>
      <c r="C34" s="35">
        <v>490693.15</v>
      </c>
      <c r="D34" s="9">
        <v>0</v>
      </c>
      <c r="E34" s="9"/>
    </row>
    <row r="35" spans="1:5" x14ac:dyDescent="0.2">
      <c r="A35" s="8" t="s">
        <v>120</v>
      </c>
      <c r="B35" s="34">
        <v>11</v>
      </c>
      <c r="C35" s="35">
        <v>16787963.100000001</v>
      </c>
      <c r="D35" s="9">
        <v>1.7272727272727273</v>
      </c>
      <c r="E35" s="9"/>
    </row>
    <row r="36" spans="1:5" x14ac:dyDescent="0.2">
      <c r="A36" s="8" t="s">
        <v>124</v>
      </c>
      <c r="B36" s="34">
        <v>3</v>
      </c>
      <c r="C36" s="35">
        <v>1505520.9</v>
      </c>
      <c r="D36" s="9">
        <v>0</v>
      </c>
      <c r="E36" s="9"/>
    </row>
    <row r="37" spans="1:5" x14ac:dyDescent="0.2">
      <c r="A37" s="8" t="s">
        <v>125</v>
      </c>
      <c r="B37" s="34">
        <v>1</v>
      </c>
      <c r="C37" s="35">
        <v>1824494.95</v>
      </c>
      <c r="D37" s="9">
        <v>3</v>
      </c>
      <c r="E37" s="9"/>
    </row>
    <row r="38" spans="1:5" x14ac:dyDescent="0.2">
      <c r="A38" s="8" t="s">
        <v>126</v>
      </c>
      <c r="B38" s="34">
        <v>8</v>
      </c>
      <c r="C38" s="35">
        <v>4625859.3499999996</v>
      </c>
      <c r="D38" s="9">
        <v>0.25</v>
      </c>
      <c r="E38" s="9"/>
    </row>
    <row r="39" spans="1:5" x14ac:dyDescent="0.2">
      <c r="A39" s="8" t="s">
        <v>127</v>
      </c>
      <c r="B39" s="34">
        <v>22</v>
      </c>
      <c r="C39" s="35">
        <v>22909305.050000001</v>
      </c>
      <c r="D39" s="9">
        <v>1.6818181818181819</v>
      </c>
      <c r="E39" s="9"/>
    </row>
    <row r="40" spans="1:5" x14ac:dyDescent="0.2">
      <c r="A40" s="8" t="s">
        <v>128</v>
      </c>
      <c r="B40" s="34">
        <v>1</v>
      </c>
      <c r="C40" s="35">
        <v>2918381.6</v>
      </c>
      <c r="D40" s="9">
        <v>4</v>
      </c>
      <c r="E40" s="9"/>
    </row>
    <row r="41" spans="1:5" x14ac:dyDescent="0.2">
      <c r="A41" s="8" t="s">
        <v>129</v>
      </c>
      <c r="B41" s="34">
        <v>1</v>
      </c>
      <c r="C41" s="35">
        <v>490693.15</v>
      </c>
      <c r="D41" s="9">
        <v>0</v>
      </c>
      <c r="E41" s="9"/>
    </row>
    <row r="42" spans="1:5" x14ac:dyDescent="0.2">
      <c r="A42" s="8" t="s">
        <v>130</v>
      </c>
      <c r="B42" s="34">
        <v>4</v>
      </c>
      <c r="C42" s="35">
        <v>2715458.2</v>
      </c>
      <c r="D42" s="9">
        <v>0.75</v>
      </c>
      <c r="E42" s="9"/>
    </row>
    <row r="43" spans="1:5" x14ac:dyDescent="0.2">
      <c r="A43" s="8" t="s">
        <v>131</v>
      </c>
      <c r="B43" s="34">
        <v>1</v>
      </c>
      <c r="C43" s="35">
        <v>621831.85</v>
      </c>
      <c r="D43" s="9">
        <v>0</v>
      </c>
      <c r="E43" s="9"/>
    </row>
    <row r="44" spans="1:5" x14ac:dyDescent="0.2">
      <c r="A44" s="8" t="s">
        <v>132</v>
      </c>
      <c r="B44" s="34">
        <v>9</v>
      </c>
      <c r="C44" s="35">
        <v>12157557.5</v>
      </c>
      <c r="D44" s="9">
        <v>1.2222222222222223</v>
      </c>
      <c r="E44" s="9"/>
    </row>
    <row r="45" spans="1:5" x14ac:dyDescent="0.2">
      <c r="A45" s="8" t="s">
        <v>133</v>
      </c>
      <c r="B45" s="34">
        <v>6</v>
      </c>
      <c r="C45" s="35">
        <v>3126479.85</v>
      </c>
      <c r="D45" s="9">
        <v>0</v>
      </c>
      <c r="E45" s="9"/>
    </row>
    <row r="46" spans="1:5" x14ac:dyDescent="0.2">
      <c r="A46" s="8" t="s">
        <v>134</v>
      </c>
      <c r="B46" s="34">
        <v>152</v>
      </c>
      <c r="C46" s="35">
        <v>10619201.9</v>
      </c>
      <c r="D46" s="9">
        <v>0</v>
      </c>
      <c r="E46" s="9"/>
    </row>
    <row r="47" spans="1:5" x14ac:dyDescent="0.2">
      <c r="A47" s="8" t="s">
        <v>136</v>
      </c>
      <c r="B47" s="34">
        <v>54</v>
      </c>
      <c r="C47" s="35">
        <v>24548031.149999999</v>
      </c>
      <c r="D47" s="9">
        <v>0.33333333333333331</v>
      </c>
      <c r="E47" s="9"/>
    </row>
    <row r="48" spans="1:5" x14ac:dyDescent="0.2">
      <c r="A48" s="8" t="s">
        <v>137</v>
      </c>
      <c r="B48" s="34">
        <v>1</v>
      </c>
      <c r="C48" s="35">
        <v>717463.75</v>
      </c>
      <c r="D48" s="9">
        <v>0</v>
      </c>
      <c r="E48" s="9"/>
    </row>
    <row r="49" spans="1:5" x14ac:dyDescent="0.2">
      <c r="A49" s="8" t="s">
        <v>138</v>
      </c>
      <c r="B49" s="34">
        <v>6</v>
      </c>
      <c r="C49" s="35">
        <v>3100078.65</v>
      </c>
      <c r="D49" s="9">
        <v>0</v>
      </c>
      <c r="E49" s="9"/>
    </row>
    <row r="50" spans="1:5" x14ac:dyDescent="0.2">
      <c r="A50" s="8" t="s">
        <v>23</v>
      </c>
      <c r="B50" s="34">
        <v>1977</v>
      </c>
      <c r="C50" s="35">
        <v>878370068.72117937</v>
      </c>
      <c r="D50" s="9">
        <v>1.0302762648156076</v>
      </c>
      <c r="E50" s="9"/>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0"/>
  <sheetViews>
    <sheetView topLeftCell="B1" workbookViewId="0">
      <selection activeCell="N75" sqref="N75"/>
    </sheetView>
  </sheetViews>
  <sheetFormatPr baseColWidth="10" defaultColWidth="8.83203125" defaultRowHeight="15" x14ac:dyDescent="0.2"/>
  <cols>
    <col min="2" max="2" width="37.5" bestFit="1" customWidth="1"/>
    <col min="3" max="3" width="13.83203125" bestFit="1" customWidth="1"/>
    <col min="4" max="4" width="15" bestFit="1" customWidth="1"/>
    <col min="5" max="6" width="16.6640625" bestFit="1" customWidth="1"/>
    <col min="7" max="7" width="15.1640625" bestFit="1" customWidth="1"/>
    <col min="8" max="8" width="23.1640625" customWidth="1"/>
    <col min="9" max="9" width="15.33203125" customWidth="1"/>
    <col min="10" max="10" width="19.33203125" bestFit="1" customWidth="1"/>
    <col min="11" max="11" width="19.5" customWidth="1"/>
    <col min="12" max="12" width="25.6640625" bestFit="1" customWidth="1"/>
    <col min="13" max="13" width="14.33203125" customWidth="1"/>
    <col min="14" max="14" width="12.1640625" customWidth="1"/>
    <col min="15" max="15" width="12.6640625" customWidth="1"/>
    <col min="16" max="16" width="16.83203125" bestFit="1" customWidth="1"/>
    <col min="17" max="17" width="18.33203125" bestFit="1" customWidth="1"/>
    <col min="18" max="18" width="12.6640625" customWidth="1"/>
    <col min="19" max="19" width="13.5" bestFit="1" customWidth="1"/>
    <col min="20" max="22" width="13.5" customWidth="1"/>
    <col min="23" max="23" width="16.5" style="16" customWidth="1"/>
    <col min="24" max="24" width="23.6640625" style="16" customWidth="1"/>
    <col min="25" max="25" width="21.83203125" customWidth="1"/>
    <col min="26" max="26" width="45.1640625" customWidth="1"/>
    <col min="27" max="27" width="11.5" bestFit="1" customWidth="1"/>
  </cols>
  <sheetData>
    <row r="1" spans="1:27" s="1" customFormat="1" ht="45" x14ac:dyDescent="0.2">
      <c r="A1" s="48" t="s">
        <v>54</v>
      </c>
      <c r="B1" s="24" t="s">
        <v>0</v>
      </c>
      <c r="C1" s="25" t="s">
        <v>16</v>
      </c>
      <c r="D1" s="25" t="s">
        <v>20</v>
      </c>
      <c r="E1" s="25" t="s">
        <v>1</v>
      </c>
      <c r="F1" s="26" t="s">
        <v>2</v>
      </c>
      <c r="G1" s="25" t="s">
        <v>3</v>
      </c>
      <c r="H1" s="27" t="s">
        <v>14</v>
      </c>
      <c r="I1" s="27" t="s">
        <v>15</v>
      </c>
      <c r="J1" s="27" t="s">
        <v>4</v>
      </c>
      <c r="K1" s="38" t="s">
        <v>91</v>
      </c>
      <c r="L1" s="25" t="s">
        <v>73</v>
      </c>
      <c r="M1" s="25" t="s">
        <v>5</v>
      </c>
      <c r="N1" s="25" t="s">
        <v>6</v>
      </c>
      <c r="O1" s="25" t="s">
        <v>63</v>
      </c>
      <c r="P1" s="25" t="s">
        <v>141</v>
      </c>
      <c r="Q1" s="25" t="s">
        <v>140</v>
      </c>
      <c r="R1" s="25" t="s">
        <v>142</v>
      </c>
      <c r="S1" s="25" t="s">
        <v>13</v>
      </c>
      <c r="T1" s="25" t="s">
        <v>143</v>
      </c>
      <c r="U1" s="25" t="s">
        <v>144</v>
      </c>
      <c r="V1" s="25" t="s">
        <v>145</v>
      </c>
      <c r="W1" s="28" t="s">
        <v>48</v>
      </c>
      <c r="X1" s="28" t="s">
        <v>49</v>
      </c>
      <c r="Y1" s="28" t="s">
        <v>47</v>
      </c>
      <c r="Z1" s="29" t="s">
        <v>21</v>
      </c>
      <c r="AA1" s="28" t="s">
        <v>90</v>
      </c>
    </row>
    <row r="2" spans="1:27" s="2" customFormat="1" x14ac:dyDescent="0.2">
      <c r="A2" s="30">
        <v>1</v>
      </c>
      <c r="B2" s="30" t="s">
        <v>7</v>
      </c>
      <c r="C2" s="30" t="s">
        <v>17</v>
      </c>
      <c r="D2" s="30" t="s">
        <v>55</v>
      </c>
      <c r="E2" s="49">
        <v>22496088</v>
      </c>
      <c r="F2" s="49">
        <f t="shared" ref="F2:F50" si="0">E2*5%</f>
        <v>1124804.4000000001</v>
      </c>
      <c r="G2" s="49">
        <f>5000*57</f>
        <v>285000</v>
      </c>
      <c r="H2" s="22">
        <f>SUM(E2:G2)</f>
        <v>23905892.399999999</v>
      </c>
      <c r="I2" s="49">
        <v>0</v>
      </c>
      <c r="J2" s="22">
        <f>SUM(H2:I2)</f>
        <v>23905892.399999999</v>
      </c>
      <c r="K2" s="22">
        <f>J2/L2</f>
        <v>771157.81935483869</v>
      </c>
      <c r="L2" s="30">
        <f>4+27</f>
        <v>31</v>
      </c>
      <c r="M2" s="30">
        <f t="shared" ref="M2:M21" si="1">N2-L2</f>
        <v>17</v>
      </c>
      <c r="N2" s="30">
        <v>48</v>
      </c>
      <c r="O2" s="51">
        <v>44971</v>
      </c>
      <c r="P2" s="54">
        <f>YEAR(O2)</f>
        <v>2023</v>
      </c>
      <c r="Q2" s="49">
        <f>MONTH(O2)</f>
        <v>2</v>
      </c>
      <c r="R2" s="49">
        <f>DAY(O2)</f>
        <v>14</v>
      </c>
      <c r="S2" s="51">
        <v>45335</v>
      </c>
      <c r="T2" s="54">
        <f>YEAR(S2)</f>
        <v>2024</v>
      </c>
      <c r="U2" s="49">
        <f>MONTH(S2)</f>
        <v>2</v>
      </c>
      <c r="V2" s="49">
        <f>DAY(S2)</f>
        <v>13</v>
      </c>
      <c r="W2" s="39">
        <f t="shared" ref="W2:W14" si="2">L2/$L$75</f>
        <v>1.5680323722812341E-2</v>
      </c>
      <c r="X2" s="39">
        <f t="shared" ref="X2:X14" si="3">M2/$M$75</f>
        <v>1.8220793140407289E-2</v>
      </c>
      <c r="Y2" s="40">
        <f t="shared" ref="Y2:Y14" si="4">N2/$N$75</f>
        <v>1.8497109826589597E-2</v>
      </c>
      <c r="Z2" s="31">
        <f>M2/L2</f>
        <v>0.54838709677419351</v>
      </c>
      <c r="AA2" s="2" t="str">
        <f>_xlfn.XLOOKUP(Table1[[#This Row],[No. of Principal Member]],Client_Segments!$A$2:$A$5,Client_Segments!$B$2:$B$5,,1)</f>
        <v>Tigers</v>
      </c>
    </row>
    <row r="3" spans="1:27" s="2" customFormat="1" x14ac:dyDescent="0.2">
      <c r="A3" s="30">
        <v>2</v>
      </c>
      <c r="B3" s="30" t="s">
        <v>8</v>
      </c>
      <c r="C3" s="30" t="s">
        <v>17</v>
      </c>
      <c r="D3" s="30" t="s">
        <v>56</v>
      </c>
      <c r="E3" s="49">
        <v>8621293</v>
      </c>
      <c r="F3" s="49">
        <f t="shared" si="0"/>
        <v>431064.65</v>
      </c>
      <c r="G3" s="49">
        <v>480000</v>
      </c>
      <c r="H3" s="22">
        <f t="shared" ref="H3:H35" si="5">SUM(E3:G3)</f>
        <v>9532357.6500000004</v>
      </c>
      <c r="I3" s="49">
        <v>0</v>
      </c>
      <c r="J3" s="22">
        <f t="shared" ref="J3:J35" si="6">SUM(H3:I3)</f>
        <v>9532357.6500000004</v>
      </c>
      <c r="K3" s="22">
        <f t="shared" ref="K3:K35" si="7">J3/L3</f>
        <v>198590.78437500002</v>
      </c>
      <c r="L3" s="30">
        <v>48</v>
      </c>
      <c r="M3" s="30">
        <f t="shared" si="1"/>
        <v>0</v>
      </c>
      <c r="N3" s="30">
        <v>48</v>
      </c>
      <c r="O3" s="51">
        <v>44987</v>
      </c>
      <c r="P3" s="54">
        <f t="shared" ref="P3:P50" si="8">YEAR(O3)</f>
        <v>2023</v>
      </c>
      <c r="Q3" s="49">
        <f t="shared" ref="Q3:Q50" si="9">MONTH(O3)</f>
        <v>3</v>
      </c>
      <c r="R3" s="49">
        <f t="shared" ref="R3:R50" si="10">DAY(O3)</f>
        <v>2</v>
      </c>
      <c r="S3" s="51">
        <v>45077</v>
      </c>
      <c r="T3" s="54">
        <f t="shared" ref="T3:T50" si="11">YEAR(S3)</f>
        <v>2023</v>
      </c>
      <c r="U3" s="49">
        <f t="shared" ref="U3:U50" si="12">MONTH(S3)</f>
        <v>5</v>
      </c>
      <c r="V3" s="49">
        <f t="shared" ref="V3:V50" si="13">DAY(S3)</f>
        <v>31</v>
      </c>
      <c r="W3" s="39">
        <f t="shared" si="2"/>
        <v>2.4279210925644917E-2</v>
      </c>
      <c r="X3" s="39">
        <f t="shared" si="3"/>
        <v>0</v>
      </c>
      <c r="Y3" s="40">
        <f t="shared" si="4"/>
        <v>1.8497109826589597E-2</v>
      </c>
      <c r="Z3" s="31">
        <f t="shared" ref="Z3:Z14" si="14">M3/L3</f>
        <v>0</v>
      </c>
      <c r="AA3" s="2" t="str">
        <f>_xlfn.XLOOKUP(Table1[[#This Row],[No. of Principal Member]],Client_Segments!$A$2:$A$5,Client_Segments!$B$2:$B$5,,1)</f>
        <v>Tigers</v>
      </c>
    </row>
    <row r="4" spans="1:27" s="2" customFormat="1" x14ac:dyDescent="0.2">
      <c r="A4" s="30">
        <v>3</v>
      </c>
      <c r="B4" s="30" t="s">
        <v>9</v>
      </c>
      <c r="C4" s="30" t="s">
        <v>17</v>
      </c>
      <c r="D4" s="30" t="s">
        <v>55</v>
      </c>
      <c r="E4" s="49">
        <v>40164891.877313644</v>
      </c>
      <c r="F4" s="49">
        <f t="shared" si="0"/>
        <v>2008244.5938656824</v>
      </c>
      <c r="G4" s="49">
        <v>0</v>
      </c>
      <c r="H4" s="22">
        <f t="shared" si="5"/>
        <v>42173136.471179329</v>
      </c>
      <c r="I4" s="49">
        <v>0</v>
      </c>
      <c r="J4" s="22">
        <f t="shared" si="6"/>
        <v>42173136.471179329</v>
      </c>
      <c r="K4" s="22">
        <f t="shared" si="7"/>
        <v>980770.61560882162</v>
      </c>
      <c r="L4" s="30">
        <v>43</v>
      </c>
      <c r="M4" s="30">
        <f t="shared" si="1"/>
        <v>90</v>
      </c>
      <c r="N4" s="30">
        <v>133</v>
      </c>
      <c r="O4" s="51">
        <v>44992</v>
      </c>
      <c r="P4" s="54">
        <f t="shared" si="8"/>
        <v>2023</v>
      </c>
      <c r="Q4" s="49">
        <f t="shared" si="9"/>
        <v>3</v>
      </c>
      <c r="R4" s="49">
        <f t="shared" si="10"/>
        <v>7</v>
      </c>
      <c r="S4" s="51">
        <v>45357</v>
      </c>
      <c r="T4" s="54">
        <f t="shared" si="11"/>
        <v>2024</v>
      </c>
      <c r="U4" s="49">
        <f t="shared" si="12"/>
        <v>3</v>
      </c>
      <c r="V4" s="49">
        <f t="shared" si="13"/>
        <v>6</v>
      </c>
      <c r="W4" s="39">
        <f t="shared" si="2"/>
        <v>2.175012645422357E-2</v>
      </c>
      <c r="X4" s="39">
        <f t="shared" si="3"/>
        <v>9.6463022508038579E-2</v>
      </c>
      <c r="Y4" s="40">
        <f t="shared" si="4"/>
        <v>5.1252408477842001E-2</v>
      </c>
      <c r="Z4" s="31">
        <f t="shared" si="14"/>
        <v>2.0930232558139537</v>
      </c>
      <c r="AA4" s="2" t="str">
        <f>_xlfn.XLOOKUP(Table1[[#This Row],[No. of Principal Member]],Client_Segments!$A$2:$A$5,Client_Segments!$B$2:$B$5,,1)</f>
        <v>Tigers</v>
      </c>
    </row>
    <row r="5" spans="1:27" s="2" customFormat="1" x14ac:dyDescent="0.2">
      <c r="A5" s="30">
        <v>4</v>
      </c>
      <c r="B5" s="30" t="s">
        <v>10</v>
      </c>
      <c r="C5" s="30" t="s">
        <v>17</v>
      </c>
      <c r="D5" s="30" t="s">
        <v>55</v>
      </c>
      <c r="E5" s="49">
        <v>3790302</v>
      </c>
      <c r="F5" s="49">
        <f t="shared" si="0"/>
        <v>189515.1</v>
      </c>
      <c r="G5" s="49">
        <v>70000</v>
      </c>
      <c r="H5" s="22">
        <f t="shared" si="5"/>
        <v>4049817.1</v>
      </c>
      <c r="I5" s="49">
        <v>0</v>
      </c>
      <c r="J5" s="22">
        <f t="shared" si="6"/>
        <v>4049817.1</v>
      </c>
      <c r="K5" s="22">
        <f t="shared" si="7"/>
        <v>1012454.275</v>
      </c>
      <c r="L5" s="30">
        <v>4</v>
      </c>
      <c r="M5" s="30">
        <f t="shared" si="1"/>
        <v>3</v>
      </c>
      <c r="N5" s="30">
        <v>7</v>
      </c>
      <c r="O5" s="51">
        <v>45013</v>
      </c>
      <c r="P5" s="54">
        <f t="shared" si="8"/>
        <v>2023</v>
      </c>
      <c r="Q5" s="49">
        <f t="shared" si="9"/>
        <v>3</v>
      </c>
      <c r="R5" s="49">
        <f t="shared" si="10"/>
        <v>28</v>
      </c>
      <c r="S5" s="51">
        <v>45378</v>
      </c>
      <c r="T5" s="54">
        <f t="shared" si="11"/>
        <v>2024</v>
      </c>
      <c r="U5" s="49">
        <f t="shared" si="12"/>
        <v>3</v>
      </c>
      <c r="V5" s="49">
        <f t="shared" si="13"/>
        <v>27</v>
      </c>
      <c r="W5" s="39">
        <f t="shared" si="2"/>
        <v>2.0232675771370764E-3</v>
      </c>
      <c r="X5" s="39">
        <f t="shared" si="3"/>
        <v>3.2154340836012861E-3</v>
      </c>
      <c r="Y5" s="40">
        <f t="shared" si="4"/>
        <v>2.6974951830443161E-3</v>
      </c>
      <c r="Z5" s="31">
        <f t="shared" si="14"/>
        <v>0.75</v>
      </c>
      <c r="AA5" s="2" t="str">
        <f>_xlfn.XLOOKUP(Table1[[#This Row],[No. of Principal Member]],Client_Segments!$A$2:$A$5,Client_Segments!$B$2:$B$5,,1)</f>
        <v>Hares</v>
      </c>
    </row>
    <row r="6" spans="1:27" s="2" customFormat="1" x14ac:dyDescent="0.2">
      <c r="A6" s="30">
        <v>5</v>
      </c>
      <c r="B6" s="30" t="s">
        <v>103</v>
      </c>
      <c r="C6" s="30" t="s">
        <v>18</v>
      </c>
      <c r="D6" s="30" t="s">
        <v>55</v>
      </c>
      <c r="E6" s="49">
        <f>136125+1949127</f>
        <v>2085252</v>
      </c>
      <c r="F6" s="49">
        <f t="shared" si="0"/>
        <v>104262.6</v>
      </c>
      <c r="G6" s="49">
        <v>90000</v>
      </c>
      <c r="H6" s="22">
        <f t="shared" si="5"/>
        <v>2279514.6</v>
      </c>
      <c r="I6" s="49">
        <f>288109+3687410</f>
        <v>3975519</v>
      </c>
      <c r="J6" s="22">
        <f t="shared" si="6"/>
        <v>6255033.5999999996</v>
      </c>
      <c r="K6" s="22">
        <f t="shared" si="7"/>
        <v>390939.6</v>
      </c>
      <c r="L6" s="30">
        <v>16</v>
      </c>
      <c r="M6" s="30">
        <f t="shared" si="1"/>
        <v>2</v>
      </c>
      <c r="N6" s="30">
        <v>18</v>
      </c>
      <c r="O6" s="51">
        <v>45030</v>
      </c>
      <c r="P6" s="54">
        <f t="shared" si="8"/>
        <v>2023</v>
      </c>
      <c r="Q6" s="49">
        <f t="shared" si="9"/>
        <v>4</v>
      </c>
      <c r="R6" s="49">
        <f t="shared" si="10"/>
        <v>14</v>
      </c>
      <c r="S6" s="51">
        <v>45395</v>
      </c>
      <c r="T6" s="54">
        <f t="shared" si="11"/>
        <v>2024</v>
      </c>
      <c r="U6" s="49">
        <f t="shared" si="12"/>
        <v>4</v>
      </c>
      <c r="V6" s="49">
        <f t="shared" si="13"/>
        <v>13</v>
      </c>
      <c r="W6" s="39">
        <f t="shared" si="2"/>
        <v>8.0930703085483058E-3</v>
      </c>
      <c r="X6" s="39">
        <f t="shared" si="3"/>
        <v>2.1436227224008574E-3</v>
      </c>
      <c r="Y6" s="40">
        <f t="shared" si="4"/>
        <v>6.9364161849710983E-3</v>
      </c>
      <c r="Z6" s="31">
        <f t="shared" si="14"/>
        <v>0.125</v>
      </c>
      <c r="AA6" s="2" t="str">
        <f>_xlfn.XLOOKUP(Table1[[#This Row],[No. of Principal Member]],Client_Segments!$A$2:$A$5,Client_Segments!$B$2:$B$5,,1)</f>
        <v>Hares</v>
      </c>
    </row>
    <row r="7" spans="1:27" s="2" customFormat="1" x14ac:dyDescent="0.2">
      <c r="A7" s="30">
        <v>6</v>
      </c>
      <c r="B7" s="30" t="s">
        <v>11</v>
      </c>
      <c r="C7" s="30" t="s">
        <v>17</v>
      </c>
      <c r="D7" s="30" t="s">
        <v>57</v>
      </c>
      <c r="E7" s="49">
        <v>2284972</v>
      </c>
      <c r="F7" s="49">
        <f t="shared" si="0"/>
        <v>114248.6</v>
      </c>
      <c r="G7" s="49">
        <v>40000</v>
      </c>
      <c r="H7" s="22">
        <f t="shared" si="5"/>
        <v>2439220.6</v>
      </c>
      <c r="I7" s="49">
        <v>0</v>
      </c>
      <c r="J7" s="22">
        <f t="shared" si="6"/>
        <v>2439220.6</v>
      </c>
      <c r="K7" s="22">
        <f t="shared" si="7"/>
        <v>609805.15</v>
      </c>
      <c r="L7" s="30">
        <v>4</v>
      </c>
      <c r="M7" s="30">
        <f t="shared" si="1"/>
        <v>0</v>
      </c>
      <c r="N7" s="30">
        <v>4</v>
      </c>
      <c r="O7" s="51">
        <v>45047</v>
      </c>
      <c r="P7" s="54">
        <f t="shared" si="8"/>
        <v>2023</v>
      </c>
      <c r="Q7" s="49">
        <f t="shared" si="9"/>
        <v>5</v>
      </c>
      <c r="R7" s="49">
        <f t="shared" si="10"/>
        <v>1</v>
      </c>
      <c r="S7" s="51">
        <v>45412</v>
      </c>
      <c r="T7" s="54">
        <f t="shared" si="11"/>
        <v>2024</v>
      </c>
      <c r="U7" s="49">
        <f t="shared" si="12"/>
        <v>4</v>
      </c>
      <c r="V7" s="49">
        <f t="shared" si="13"/>
        <v>30</v>
      </c>
      <c r="W7" s="39">
        <f t="shared" si="2"/>
        <v>2.0232675771370764E-3</v>
      </c>
      <c r="X7" s="39">
        <f t="shared" si="3"/>
        <v>0</v>
      </c>
      <c r="Y7" s="40">
        <f t="shared" si="4"/>
        <v>1.5414258188824663E-3</v>
      </c>
      <c r="Z7" s="31">
        <f t="shared" si="14"/>
        <v>0</v>
      </c>
      <c r="AA7" s="2" t="str">
        <f>_xlfn.XLOOKUP(Table1[[#This Row],[No. of Principal Member]],Client_Segments!$A$2:$A$5,Client_Segments!$B$2:$B$5,,1)</f>
        <v>Hares</v>
      </c>
    </row>
    <row r="8" spans="1:27" s="2" customFormat="1" x14ac:dyDescent="0.2">
      <c r="A8" s="30">
        <v>7</v>
      </c>
      <c r="B8" s="30" t="s">
        <v>12</v>
      </c>
      <c r="C8" s="30" t="s">
        <v>18</v>
      </c>
      <c r="D8" s="30" t="s">
        <v>57</v>
      </c>
      <c r="E8" s="49">
        <f>4571851+156158</f>
        <v>4728009</v>
      </c>
      <c r="F8" s="49">
        <f t="shared" si="0"/>
        <v>236400.45</v>
      </c>
      <c r="G8" s="49">
        <f>485000</f>
        <v>485000</v>
      </c>
      <c r="H8" s="22">
        <f t="shared" si="5"/>
        <v>5449409.4500000002</v>
      </c>
      <c r="I8" s="49">
        <v>6242034.5499999998</v>
      </c>
      <c r="J8" s="22">
        <f t="shared" si="6"/>
        <v>11691444</v>
      </c>
      <c r="K8" s="22">
        <f t="shared" si="7"/>
        <v>334041.25714285712</v>
      </c>
      <c r="L8" s="30">
        <v>35</v>
      </c>
      <c r="M8" s="30">
        <f t="shared" si="1"/>
        <v>62</v>
      </c>
      <c r="N8" s="30">
        <v>97</v>
      </c>
      <c r="O8" s="51">
        <v>45071</v>
      </c>
      <c r="P8" s="54">
        <f t="shared" si="8"/>
        <v>2023</v>
      </c>
      <c r="Q8" s="49">
        <f t="shared" si="9"/>
        <v>5</v>
      </c>
      <c r="R8" s="49">
        <f t="shared" si="10"/>
        <v>25</v>
      </c>
      <c r="S8" s="51">
        <v>45436</v>
      </c>
      <c r="T8" s="54">
        <f t="shared" si="11"/>
        <v>2024</v>
      </c>
      <c r="U8" s="49">
        <f t="shared" si="12"/>
        <v>5</v>
      </c>
      <c r="V8" s="49">
        <f t="shared" si="13"/>
        <v>24</v>
      </c>
      <c r="W8" s="39">
        <f t="shared" si="2"/>
        <v>1.7703591299949417E-2</v>
      </c>
      <c r="X8" s="39">
        <f t="shared" si="3"/>
        <v>6.6452304394426578E-2</v>
      </c>
      <c r="Y8" s="40">
        <f t="shared" si="4"/>
        <v>3.7379576107899805E-2</v>
      </c>
      <c r="Z8" s="31">
        <f t="shared" si="14"/>
        <v>1.7714285714285714</v>
      </c>
      <c r="AA8" s="2" t="str">
        <f>_xlfn.XLOOKUP(Table1[[#This Row],[No. of Principal Member]],Client_Segments!$A$2:$A$5,Client_Segments!$B$2:$B$5,,1)</f>
        <v>Tigers</v>
      </c>
    </row>
    <row r="9" spans="1:27" s="2" customFormat="1" x14ac:dyDescent="0.2">
      <c r="A9" s="30">
        <v>8</v>
      </c>
      <c r="B9" s="30" t="s">
        <v>50</v>
      </c>
      <c r="C9" s="30" t="s">
        <v>17</v>
      </c>
      <c r="D9" s="30" t="s">
        <v>55</v>
      </c>
      <c r="E9" s="49">
        <v>464879</v>
      </c>
      <c r="F9" s="49">
        <f t="shared" si="0"/>
        <v>23243.95</v>
      </c>
      <c r="G9" s="49">
        <v>10000</v>
      </c>
      <c r="H9" s="22">
        <f t="shared" si="5"/>
        <v>498122.95</v>
      </c>
      <c r="I9" s="49">
        <v>0</v>
      </c>
      <c r="J9" s="22">
        <f t="shared" si="6"/>
        <v>498122.95</v>
      </c>
      <c r="K9" s="22">
        <f t="shared" si="7"/>
        <v>498122.95</v>
      </c>
      <c r="L9" s="30">
        <v>1</v>
      </c>
      <c r="M9" s="30">
        <f t="shared" si="1"/>
        <v>0</v>
      </c>
      <c r="N9" s="30">
        <v>1</v>
      </c>
      <c r="O9" s="51">
        <v>45114</v>
      </c>
      <c r="P9" s="54">
        <f t="shared" si="8"/>
        <v>2023</v>
      </c>
      <c r="Q9" s="49">
        <f t="shared" si="9"/>
        <v>7</v>
      </c>
      <c r="R9" s="49">
        <f t="shared" si="10"/>
        <v>7</v>
      </c>
      <c r="S9" s="51">
        <v>45479</v>
      </c>
      <c r="T9" s="54">
        <f t="shared" si="11"/>
        <v>2024</v>
      </c>
      <c r="U9" s="49">
        <f t="shared" si="12"/>
        <v>7</v>
      </c>
      <c r="V9" s="49">
        <f t="shared" si="13"/>
        <v>6</v>
      </c>
      <c r="W9" s="39">
        <f t="shared" si="2"/>
        <v>5.0581689428426911E-4</v>
      </c>
      <c r="X9" s="39">
        <f t="shared" si="3"/>
        <v>0</v>
      </c>
      <c r="Y9" s="40">
        <f t="shared" si="4"/>
        <v>3.8535645472061658E-4</v>
      </c>
      <c r="Z9" s="31">
        <f t="shared" si="14"/>
        <v>0</v>
      </c>
      <c r="AA9" s="2" t="str">
        <f>_xlfn.XLOOKUP(Table1[[#This Row],[No. of Principal Member]],Client_Segments!$A$2:$A$5,Client_Segments!$B$2:$B$5,,1)</f>
        <v>Hares</v>
      </c>
    </row>
    <row r="10" spans="1:27" s="2" customFormat="1" x14ac:dyDescent="0.2">
      <c r="A10" s="30">
        <v>9</v>
      </c>
      <c r="B10" s="30" t="s">
        <v>51</v>
      </c>
      <c r="C10" s="30" t="s">
        <v>17</v>
      </c>
      <c r="D10" s="30" t="s">
        <v>55</v>
      </c>
      <c r="E10" s="49">
        <v>478944</v>
      </c>
      <c r="F10" s="49">
        <f t="shared" si="0"/>
        <v>23947.200000000001</v>
      </c>
      <c r="G10" s="49">
        <v>10000</v>
      </c>
      <c r="H10" s="22">
        <f t="shared" si="5"/>
        <v>512891.2</v>
      </c>
      <c r="I10" s="49">
        <v>0</v>
      </c>
      <c r="J10" s="22">
        <f t="shared" si="6"/>
        <v>512891.2</v>
      </c>
      <c r="K10" s="22">
        <f t="shared" si="7"/>
        <v>512891.2</v>
      </c>
      <c r="L10" s="30">
        <v>1</v>
      </c>
      <c r="M10" s="30">
        <f t="shared" si="1"/>
        <v>0</v>
      </c>
      <c r="N10" s="30">
        <v>1</v>
      </c>
      <c r="O10" s="51">
        <v>45121</v>
      </c>
      <c r="P10" s="54">
        <f t="shared" si="8"/>
        <v>2023</v>
      </c>
      <c r="Q10" s="49">
        <f t="shared" si="9"/>
        <v>7</v>
      </c>
      <c r="R10" s="49">
        <f t="shared" si="10"/>
        <v>14</v>
      </c>
      <c r="S10" s="51">
        <v>45486</v>
      </c>
      <c r="T10" s="54">
        <f t="shared" si="11"/>
        <v>2024</v>
      </c>
      <c r="U10" s="49">
        <f t="shared" si="12"/>
        <v>7</v>
      </c>
      <c r="V10" s="49">
        <f t="shared" si="13"/>
        <v>13</v>
      </c>
      <c r="W10" s="39">
        <f t="shared" si="2"/>
        <v>5.0581689428426911E-4</v>
      </c>
      <c r="X10" s="39">
        <f t="shared" si="3"/>
        <v>0</v>
      </c>
      <c r="Y10" s="40">
        <f t="shared" si="4"/>
        <v>3.8535645472061658E-4</v>
      </c>
      <c r="Z10" s="31">
        <f t="shared" si="14"/>
        <v>0</v>
      </c>
      <c r="AA10" s="2" t="str">
        <f>_xlfn.XLOOKUP(Table1[[#This Row],[No. of Principal Member]],Client_Segments!$A$2:$A$5,Client_Segments!$B$2:$B$5,,1)</f>
        <v>Hares</v>
      </c>
    </row>
    <row r="11" spans="1:27" s="2" customFormat="1" x14ac:dyDescent="0.2">
      <c r="A11" s="30">
        <v>10</v>
      </c>
      <c r="B11" s="30" t="s">
        <v>52</v>
      </c>
      <c r="C11" s="30" t="s">
        <v>17</v>
      </c>
      <c r="D11" s="30" t="s">
        <v>56</v>
      </c>
      <c r="E11" s="49">
        <v>5876347</v>
      </c>
      <c r="F11" s="49">
        <f t="shared" si="0"/>
        <v>293817.35000000003</v>
      </c>
      <c r="G11" s="49">
        <v>160000</v>
      </c>
      <c r="H11" s="22">
        <f t="shared" si="5"/>
        <v>6330164.3499999996</v>
      </c>
      <c r="I11" s="49">
        <v>0</v>
      </c>
      <c r="J11" s="22">
        <f t="shared" si="6"/>
        <v>6330164.3499999996</v>
      </c>
      <c r="K11" s="22">
        <f t="shared" si="7"/>
        <v>1266032.8699999999</v>
      </c>
      <c r="L11" s="30">
        <v>5</v>
      </c>
      <c r="M11" s="30">
        <f t="shared" si="1"/>
        <v>11</v>
      </c>
      <c r="N11" s="30">
        <v>16</v>
      </c>
      <c r="O11" s="51">
        <v>45092</v>
      </c>
      <c r="P11" s="54">
        <f t="shared" si="8"/>
        <v>2023</v>
      </c>
      <c r="Q11" s="49">
        <f t="shared" si="9"/>
        <v>6</v>
      </c>
      <c r="R11" s="49">
        <f t="shared" si="10"/>
        <v>15</v>
      </c>
      <c r="S11" s="51">
        <v>45457</v>
      </c>
      <c r="T11" s="54">
        <f t="shared" si="11"/>
        <v>2024</v>
      </c>
      <c r="U11" s="49">
        <f t="shared" si="12"/>
        <v>6</v>
      </c>
      <c r="V11" s="49">
        <f t="shared" si="13"/>
        <v>14</v>
      </c>
      <c r="W11" s="39">
        <f t="shared" si="2"/>
        <v>2.5290844714213456E-3</v>
      </c>
      <c r="X11" s="39">
        <f t="shared" si="3"/>
        <v>1.1789924973204717E-2</v>
      </c>
      <c r="Y11" s="40">
        <f t="shared" si="4"/>
        <v>6.1657032755298652E-3</v>
      </c>
      <c r="Z11" s="31">
        <f t="shared" si="14"/>
        <v>2.2000000000000002</v>
      </c>
      <c r="AA11" s="2" t="str">
        <f>_xlfn.XLOOKUP(Table1[[#This Row],[No. of Principal Member]],Client_Segments!$A$2:$A$5,Client_Segments!$B$2:$B$5,,1)</f>
        <v>Hares</v>
      </c>
    </row>
    <row r="12" spans="1:27" s="2" customFormat="1" x14ac:dyDescent="0.2">
      <c r="A12" s="30">
        <v>11</v>
      </c>
      <c r="B12" s="30" t="s">
        <v>104</v>
      </c>
      <c r="C12" s="30" t="s">
        <v>17</v>
      </c>
      <c r="D12" s="30" t="s">
        <v>56</v>
      </c>
      <c r="E12" s="49">
        <v>20830183</v>
      </c>
      <c r="F12" s="49">
        <f t="shared" si="0"/>
        <v>1041509.15</v>
      </c>
      <c r="G12" s="49">
        <v>600000</v>
      </c>
      <c r="H12" s="22">
        <f t="shared" si="5"/>
        <v>22471692.149999999</v>
      </c>
      <c r="I12" s="49">
        <v>0</v>
      </c>
      <c r="J12" s="22">
        <f t="shared" si="6"/>
        <v>22471692.149999999</v>
      </c>
      <c r="K12" s="22">
        <f t="shared" si="7"/>
        <v>1123584.6074999999</v>
      </c>
      <c r="L12" s="30">
        <v>20</v>
      </c>
      <c r="M12" s="30">
        <f t="shared" si="1"/>
        <v>40</v>
      </c>
      <c r="N12" s="30">
        <v>60</v>
      </c>
      <c r="O12" s="51">
        <v>45095</v>
      </c>
      <c r="P12" s="54">
        <f t="shared" si="8"/>
        <v>2023</v>
      </c>
      <c r="Q12" s="49">
        <f t="shared" si="9"/>
        <v>6</v>
      </c>
      <c r="R12" s="49">
        <f t="shared" si="10"/>
        <v>18</v>
      </c>
      <c r="S12" s="51">
        <v>45460</v>
      </c>
      <c r="T12" s="54">
        <f t="shared" si="11"/>
        <v>2024</v>
      </c>
      <c r="U12" s="49">
        <f t="shared" si="12"/>
        <v>6</v>
      </c>
      <c r="V12" s="49">
        <f t="shared" si="13"/>
        <v>17</v>
      </c>
      <c r="W12" s="39">
        <f t="shared" si="2"/>
        <v>1.0116337885685382E-2</v>
      </c>
      <c r="X12" s="39">
        <f t="shared" si="3"/>
        <v>4.2872454448017148E-2</v>
      </c>
      <c r="Y12" s="40">
        <f t="shared" si="4"/>
        <v>2.3121387283236993E-2</v>
      </c>
      <c r="Z12" s="31">
        <f t="shared" si="14"/>
        <v>2</v>
      </c>
      <c r="AA12" s="2" t="str">
        <f>_xlfn.XLOOKUP(Table1[[#This Row],[No. of Principal Member]],Client_Segments!$A$2:$A$5,Client_Segments!$B$2:$B$5,,1)</f>
        <v>Hares</v>
      </c>
    </row>
    <row r="13" spans="1:27" s="2" customFormat="1" x14ac:dyDescent="0.2">
      <c r="A13" s="30">
        <v>12</v>
      </c>
      <c r="B13" s="30" t="s">
        <v>105</v>
      </c>
      <c r="C13" s="30" t="s">
        <v>17</v>
      </c>
      <c r="D13" s="30" t="s">
        <v>56</v>
      </c>
      <c r="E13" s="49">
        <v>1983154</v>
      </c>
      <c r="F13" s="49">
        <f t="shared" si="0"/>
        <v>99157.700000000012</v>
      </c>
      <c r="G13" s="49">
        <v>80000</v>
      </c>
      <c r="H13" s="22">
        <f t="shared" si="5"/>
        <v>2162311.7000000002</v>
      </c>
      <c r="I13" s="49">
        <v>0</v>
      </c>
      <c r="J13" s="22">
        <f t="shared" si="6"/>
        <v>2162311.7000000002</v>
      </c>
      <c r="K13" s="22">
        <f t="shared" si="7"/>
        <v>1081155.8500000001</v>
      </c>
      <c r="L13" s="30">
        <v>2</v>
      </c>
      <c r="M13" s="30">
        <f t="shared" si="1"/>
        <v>6</v>
      </c>
      <c r="N13" s="30">
        <v>8</v>
      </c>
      <c r="O13" s="51">
        <v>45097</v>
      </c>
      <c r="P13" s="54">
        <f t="shared" si="8"/>
        <v>2023</v>
      </c>
      <c r="Q13" s="49">
        <f t="shared" si="9"/>
        <v>6</v>
      </c>
      <c r="R13" s="49">
        <f t="shared" si="10"/>
        <v>20</v>
      </c>
      <c r="S13" s="51">
        <v>45462</v>
      </c>
      <c r="T13" s="54">
        <f t="shared" si="11"/>
        <v>2024</v>
      </c>
      <c r="U13" s="49">
        <f t="shared" si="12"/>
        <v>6</v>
      </c>
      <c r="V13" s="49">
        <f t="shared" si="13"/>
        <v>19</v>
      </c>
      <c r="W13" s="39">
        <f t="shared" si="2"/>
        <v>1.0116337885685382E-3</v>
      </c>
      <c r="X13" s="39">
        <f t="shared" si="3"/>
        <v>6.4308681672025723E-3</v>
      </c>
      <c r="Y13" s="40">
        <f t="shared" si="4"/>
        <v>3.0828516377649326E-3</v>
      </c>
      <c r="Z13" s="31">
        <f t="shared" si="14"/>
        <v>3</v>
      </c>
      <c r="AA13" s="2" t="str">
        <f>_xlfn.XLOOKUP(Table1[[#This Row],[No. of Principal Member]],Client_Segments!$A$2:$A$5,Client_Segments!$B$2:$B$5,,1)</f>
        <v>Hares</v>
      </c>
    </row>
    <row r="14" spans="1:27" s="2" customFormat="1" x14ac:dyDescent="0.2">
      <c r="A14" s="30">
        <v>13</v>
      </c>
      <c r="B14" s="30" t="s">
        <v>53</v>
      </c>
      <c r="C14" s="30" t="s">
        <v>17</v>
      </c>
      <c r="D14" s="30" t="s">
        <v>57</v>
      </c>
      <c r="E14" s="49">
        <v>18581056</v>
      </c>
      <c r="F14" s="49">
        <f t="shared" si="0"/>
        <v>929052.8</v>
      </c>
      <c r="G14" s="49">
        <v>240000</v>
      </c>
      <c r="H14" s="22">
        <f t="shared" si="5"/>
        <v>19750108.800000001</v>
      </c>
      <c r="I14" s="49">
        <v>0</v>
      </c>
      <c r="J14" s="22">
        <f t="shared" si="6"/>
        <v>19750108.800000001</v>
      </c>
      <c r="K14" s="22">
        <f t="shared" si="7"/>
        <v>1316673.9200000002</v>
      </c>
      <c r="L14" s="30">
        <v>15</v>
      </c>
      <c r="M14" s="30">
        <f t="shared" si="1"/>
        <v>9</v>
      </c>
      <c r="N14" s="30">
        <v>24</v>
      </c>
      <c r="O14" s="51">
        <v>45129</v>
      </c>
      <c r="P14" s="54">
        <f t="shared" si="8"/>
        <v>2023</v>
      </c>
      <c r="Q14" s="49">
        <f t="shared" si="9"/>
        <v>7</v>
      </c>
      <c r="R14" s="49">
        <f t="shared" si="10"/>
        <v>22</v>
      </c>
      <c r="S14" s="51">
        <v>45494</v>
      </c>
      <c r="T14" s="54">
        <f t="shared" si="11"/>
        <v>2024</v>
      </c>
      <c r="U14" s="49">
        <f t="shared" si="12"/>
        <v>7</v>
      </c>
      <c r="V14" s="49">
        <f t="shared" si="13"/>
        <v>21</v>
      </c>
      <c r="W14" s="39">
        <f t="shared" si="2"/>
        <v>7.5872534142640367E-3</v>
      </c>
      <c r="X14" s="39">
        <f t="shared" si="3"/>
        <v>9.6463022508038593E-3</v>
      </c>
      <c r="Y14" s="40">
        <f t="shared" si="4"/>
        <v>9.2485549132947983E-3</v>
      </c>
      <c r="Z14" s="31">
        <f t="shared" si="14"/>
        <v>0.6</v>
      </c>
      <c r="AA14" s="2" t="str">
        <f>_xlfn.XLOOKUP(Table1[[#This Row],[No. of Principal Member]],Client_Segments!$A$2:$A$5,Client_Segments!$B$2:$B$5,,1)</f>
        <v>Hares</v>
      </c>
    </row>
    <row r="15" spans="1:27" s="2" customFormat="1" x14ac:dyDescent="0.2">
      <c r="A15" s="30">
        <v>14</v>
      </c>
      <c r="B15" s="30" t="s">
        <v>106</v>
      </c>
      <c r="C15" s="30" t="s">
        <v>17</v>
      </c>
      <c r="D15" s="30" t="s">
        <v>56</v>
      </c>
      <c r="E15" s="49">
        <v>5862972</v>
      </c>
      <c r="F15" s="49">
        <f t="shared" si="0"/>
        <v>293148.60000000003</v>
      </c>
      <c r="G15" s="49">
        <v>220000</v>
      </c>
      <c r="H15" s="22">
        <f t="shared" si="5"/>
        <v>6376120.5999999996</v>
      </c>
      <c r="I15" s="49">
        <v>0</v>
      </c>
      <c r="J15" s="22">
        <f t="shared" si="6"/>
        <v>6376120.5999999996</v>
      </c>
      <c r="K15" s="22">
        <f t="shared" si="7"/>
        <v>1062686.7666666666</v>
      </c>
      <c r="L15" s="30">
        <v>6</v>
      </c>
      <c r="M15" s="30">
        <f t="shared" si="1"/>
        <v>16</v>
      </c>
      <c r="N15" s="30">
        <v>22</v>
      </c>
      <c r="O15" s="51">
        <v>45145</v>
      </c>
      <c r="P15" s="54">
        <f t="shared" si="8"/>
        <v>2023</v>
      </c>
      <c r="Q15" s="49">
        <f t="shared" si="9"/>
        <v>8</v>
      </c>
      <c r="R15" s="49">
        <f t="shared" si="10"/>
        <v>7</v>
      </c>
      <c r="S15" s="51">
        <v>45510</v>
      </c>
      <c r="T15" s="54">
        <f t="shared" si="11"/>
        <v>2024</v>
      </c>
      <c r="U15" s="49">
        <f t="shared" si="12"/>
        <v>8</v>
      </c>
      <c r="V15" s="49">
        <f t="shared" si="13"/>
        <v>6</v>
      </c>
      <c r="W15" s="39">
        <f t="shared" ref="W15:W28" si="15">L15/$L$75</f>
        <v>3.0349013657056147E-3</v>
      </c>
      <c r="X15" s="39">
        <f t="shared" ref="X15:X28" si="16">M15/$M$75</f>
        <v>1.7148981779206859E-2</v>
      </c>
      <c r="Y15" s="40">
        <f t="shared" ref="Y15:Y28" si="17">N15/$N$75</f>
        <v>8.4778420038535644E-3</v>
      </c>
      <c r="Z15" s="31">
        <f t="shared" ref="Z15:Z24" si="18">M15/L15</f>
        <v>2.6666666666666665</v>
      </c>
      <c r="AA15" s="2" t="str">
        <f>_xlfn.XLOOKUP(Table1[[#This Row],[No. of Principal Member]],Client_Segments!$A$2:$A$5,Client_Segments!$B$2:$B$5,,1)</f>
        <v>Hares</v>
      </c>
    </row>
    <row r="16" spans="1:27" s="2" customFormat="1" x14ac:dyDescent="0.2">
      <c r="A16" s="30">
        <v>15</v>
      </c>
      <c r="B16" s="30" t="s">
        <v>58</v>
      </c>
      <c r="C16" s="30" t="s">
        <v>17</v>
      </c>
      <c r="D16" s="30" t="s">
        <v>55</v>
      </c>
      <c r="E16" s="49">
        <v>544214</v>
      </c>
      <c r="F16" s="49">
        <f t="shared" si="0"/>
        <v>27210.7</v>
      </c>
      <c r="G16" s="49">
        <v>10000</v>
      </c>
      <c r="H16" s="22">
        <f t="shared" si="5"/>
        <v>581424.69999999995</v>
      </c>
      <c r="I16" s="49">
        <v>0</v>
      </c>
      <c r="J16" s="22">
        <f t="shared" si="6"/>
        <v>581424.69999999995</v>
      </c>
      <c r="K16" s="22">
        <f t="shared" si="7"/>
        <v>581424.69999999995</v>
      </c>
      <c r="L16" s="30">
        <v>1</v>
      </c>
      <c r="M16" s="30">
        <f t="shared" si="1"/>
        <v>0</v>
      </c>
      <c r="N16" s="30">
        <v>1</v>
      </c>
      <c r="O16" s="51">
        <v>45149</v>
      </c>
      <c r="P16" s="54">
        <f t="shared" si="8"/>
        <v>2023</v>
      </c>
      <c r="Q16" s="49">
        <f t="shared" si="9"/>
        <v>8</v>
      </c>
      <c r="R16" s="49">
        <f t="shared" si="10"/>
        <v>11</v>
      </c>
      <c r="S16" s="51">
        <v>45514</v>
      </c>
      <c r="T16" s="54">
        <f t="shared" si="11"/>
        <v>2024</v>
      </c>
      <c r="U16" s="49">
        <f t="shared" si="12"/>
        <v>8</v>
      </c>
      <c r="V16" s="49">
        <f t="shared" si="13"/>
        <v>10</v>
      </c>
      <c r="W16" s="39">
        <f t="shared" si="15"/>
        <v>5.0581689428426911E-4</v>
      </c>
      <c r="X16" s="39">
        <f t="shared" si="16"/>
        <v>0</v>
      </c>
      <c r="Y16" s="40">
        <f t="shared" si="17"/>
        <v>3.8535645472061658E-4</v>
      </c>
      <c r="Z16" s="31">
        <f t="shared" si="18"/>
        <v>0</v>
      </c>
      <c r="AA16" s="2" t="str">
        <f>_xlfn.XLOOKUP(Table1[[#This Row],[No. of Principal Member]],Client_Segments!$A$2:$A$5,Client_Segments!$B$2:$B$5,,1)</f>
        <v>Hares</v>
      </c>
    </row>
    <row r="17" spans="1:27" s="2" customFormat="1" x14ac:dyDescent="0.2">
      <c r="A17" s="30">
        <v>16</v>
      </c>
      <c r="B17" s="30" t="s">
        <v>107</v>
      </c>
      <c r="C17" s="30" t="s">
        <v>17</v>
      </c>
      <c r="D17" s="30" t="s">
        <v>56</v>
      </c>
      <c r="E17" s="49">
        <v>13176847</v>
      </c>
      <c r="F17" s="49">
        <f t="shared" si="0"/>
        <v>658842.35000000009</v>
      </c>
      <c r="G17" s="49">
        <v>370000</v>
      </c>
      <c r="H17" s="22">
        <f t="shared" si="5"/>
        <v>14205689.35</v>
      </c>
      <c r="I17" s="49">
        <v>0</v>
      </c>
      <c r="J17" s="22">
        <f t="shared" si="6"/>
        <v>14205689.35</v>
      </c>
      <c r="K17" s="22">
        <f t="shared" si="7"/>
        <v>789204.96388888883</v>
      </c>
      <c r="L17" s="30">
        <v>18</v>
      </c>
      <c r="M17" s="30">
        <f t="shared" si="1"/>
        <v>19</v>
      </c>
      <c r="N17" s="30">
        <v>37</v>
      </c>
      <c r="O17" s="51">
        <v>45153</v>
      </c>
      <c r="P17" s="54">
        <f t="shared" si="8"/>
        <v>2023</v>
      </c>
      <c r="Q17" s="49">
        <f t="shared" si="9"/>
        <v>8</v>
      </c>
      <c r="R17" s="49">
        <f t="shared" si="10"/>
        <v>15</v>
      </c>
      <c r="S17" s="51">
        <v>45518</v>
      </c>
      <c r="T17" s="54">
        <f t="shared" si="11"/>
        <v>2024</v>
      </c>
      <c r="U17" s="49">
        <f t="shared" si="12"/>
        <v>8</v>
      </c>
      <c r="V17" s="49">
        <f t="shared" si="13"/>
        <v>14</v>
      </c>
      <c r="W17" s="39">
        <f t="shared" si="15"/>
        <v>9.104704097116844E-3</v>
      </c>
      <c r="X17" s="39">
        <f t="shared" si="16"/>
        <v>2.0364415862808145E-2</v>
      </c>
      <c r="Y17" s="40">
        <f t="shared" si="17"/>
        <v>1.4258188824662813E-2</v>
      </c>
      <c r="Z17" s="31">
        <f t="shared" si="18"/>
        <v>1.0555555555555556</v>
      </c>
      <c r="AA17" s="2" t="str">
        <f>_xlfn.XLOOKUP(Table1[[#This Row],[No. of Principal Member]],Client_Segments!$A$2:$A$5,Client_Segments!$B$2:$B$5,,1)</f>
        <v>Hares</v>
      </c>
    </row>
    <row r="18" spans="1:27" s="2" customFormat="1" x14ac:dyDescent="0.2">
      <c r="A18" s="30">
        <v>17</v>
      </c>
      <c r="B18" s="30" t="s">
        <v>108</v>
      </c>
      <c r="C18" s="30" t="s">
        <v>17</v>
      </c>
      <c r="D18" s="30" t="s">
        <v>55</v>
      </c>
      <c r="E18" s="49">
        <f>16805892+305552290</f>
        <v>322358182</v>
      </c>
      <c r="F18" s="49">
        <f t="shared" si="0"/>
        <v>16117909.100000001</v>
      </c>
      <c r="G18" s="49">
        <f>2000000+320000</f>
        <v>2320000</v>
      </c>
      <c r="H18" s="22">
        <f t="shared" si="5"/>
        <v>340796091.10000002</v>
      </c>
      <c r="I18" s="49">
        <v>0</v>
      </c>
      <c r="J18" s="22">
        <f t="shared" si="6"/>
        <v>340796091.10000002</v>
      </c>
      <c r="K18" s="22">
        <f t="shared" si="7"/>
        <v>367237.16713362071</v>
      </c>
      <c r="L18" s="30">
        <v>928</v>
      </c>
      <c r="M18" s="30">
        <f t="shared" si="1"/>
        <v>0</v>
      </c>
      <c r="N18" s="30">
        <v>928</v>
      </c>
      <c r="O18" s="51">
        <v>45170</v>
      </c>
      <c r="P18" s="54">
        <f t="shared" si="8"/>
        <v>2023</v>
      </c>
      <c r="Q18" s="49">
        <f t="shared" si="9"/>
        <v>9</v>
      </c>
      <c r="R18" s="49">
        <f t="shared" si="10"/>
        <v>1</v>
      </c>
      <c r="S18" s="51">
        <v>45535</v>
      </c>
      <c r="T18" s="54">
        <f t="shared" si="11"/>
        <v>2024</v>
      </c>
      <c r="U18" s="49">
        <f t="shared" si="12"/>
        <v>8</v>
      </c>
      <c r="V18" s="49">
        <f t="shared" si="13"/>
        <v>31</v>
      </c>
      <c r="W18" s="39">
        <f t="shared" si="15"/>
        <v>0.46939807789580174</v>
      </c>
      <c r="X18" s="39">
        <f t="shared" si="16"/>
        <v>0</v>
      </c>
      <c r="Y18" s="40">
        <f t="shared" si="17"/>
        <v>0.3576107899807322</v>
      </c>
      <c r="Z18" s="31">
        <f>M18/L18</f>
        <v>0</v>
      </c>
      <c r="AA18" s="2" t="str">
        <f>_xlfn.XLOOKUP(Table1[[#This Row],[No. of Principal Member]],Client_Segments!$A$2:$A$5,Client_Segments!$B$2:$B$5,,1)</f>
        <v>Whales</v>
      </c>
    </row>
    <row r="19" spans="1:27" s="2" customFormat="1" x14ac:dyDescent="0.2">
      <c r="A19" s="30">
        <v>18</v>
      </c>
      <c r="B19" s="30" t="s">
        <v>59</v>
      </c>
      <c r="C19" s="30" t="s">
        <v>17</v>
      </c>
      <c r="D19" s="30" t="s">
        <v>57</v>
      </c>
      <c r="E19" s="49">
        <v>14687764</v>
      </c>
      <c r="F19" s="49">
        <f t="shared" si="0"/>
        <v>734388.20000000007</v>
      </c>
      <c r="G19" s="49">
        <v>450000</v>
      </c>
      <c r="H19" s="22">
        <f t="shared" si="5"/>
        <v>15872152.199999999</v>
      </c>
      <c r="I19" s="49">
        <v>0</v>
      </c>
      <c r="J19" s="22">
        <f t="shared" si="6"/>
        <v>15872152.199999999</v>
      </c>
      <c r="K19" s="22">
        <f t="shared" si="7"/>
        <v>755816.77142857143</v>
      </c>
      <c r="L19" s="30">
        <v>21</v>
      </c>
      <c r="M19" s="30">
        <f t="shared" si="1"/>
        <v>24</v>
      </c>
      <c r="N19" s="30">
        <v>45</v>
      </c>
      <c r="O19" s="51">
        <v>45170</v>
      </c>
      <c r="P19" s="54">
        <f t="shared" si="8"/>
        <v>2023</v>
      </c>
      <c r="Q19" s="49">
        <f t="shared" si="9"/>
        <v>9</v>
      </c>
      <c r="R19" s="49">
        <f t="shared" si="10"/>
        <v>1</v>
      </c>
      <c r="S19" s="51">
        <v>45535</v>
      </c>
      <c r="T19" s="54">
        <f t="shared" si="11"/>
        <v>2024</v>
      </c>
      <c r="U19" s="49">
        <f t="shared" si="12"/>
        <v>8</v>
      </c>
      <c r="V19" s="49">
        <f t="shared" si="13"/>
        <v>31</v>
      </c>
      <c r="W19" s="39">
        <f t="shared" si="15"/>
        <v>1.0622154779969651E-2</v>
      </c>
      <c r="X19" s="39">
        <f t="shared" si="16"/>
        <v>2.5723472668810289E-2</v>
      </c>
      <c r="Y19" s="40">
        <f t="shared" si="17"/>
        <v>1.7341040462427744E-2</v>
      </c>
      <c r="Z19" s="31">
        <f t="shared" si="18"/>
        <v>1.1428571428571428</v>
      </c>
      <c r="AA19" s="2" t="str">
        <f>_xlfn.XLOOKUP(Table1[[#This Row],[No. of Principal Member]],Client_Segments!$A$2:$A$5,Client_Segments!$B$2:$B$5,,1)</f>
        <v>Hares</v>
      </c>
    </row>
    <row r="20" spans="1:27" s="2" customFormat="1" x14ac:dyDescent="0.2">
      <c r="A20" s="30">
        <v>19</v>
      </c>
      <c r="B20" s="30" t="s">
        <v>60</v>
      </c>
      <c r="C20" s="30" t="s">
        <v>17</v>
      </c>
      <c r="D20" s="30" t="s">
        <v>55</v>
      </c>
      <c r="E20" s="49">
        <v>2669709</v>
      </c>
      <c r="F20" s="49">
        <f t="shared" si="0"/>
        <v>133485.45000000001</v>
      </c>
      <c r="G20" s="49">
        <v>70000</v>
      </c>
      <c r="H20" s="22">
        <f t="shared" si="5"/>
        <v>2873194.45</v>
      </c>
      <c r="I20" s="49">
        <v>0</v>
      </c>
      <c r="J20" s="22">
        <f t="shared" si="6"/>
        <v>2873194.45</v>
      </c>
      <c r="K20" s="22">
        <f t="shared" si="7"/>
        <v>718298.61250000005</v>
      </c>
      <c r="L20" s="30">
        <v>4</v>
      </c>
      <c r="M20" s="30">
        <f t="shared" si="1"/>
        <v>3</v>
      </c>
      <c r="N20" s="30">
        <v>7</v>
      </c>
      <c r="O20" s="51">
        <v>45170</v>
      </c>
      <c r="P20" s="54">
        <f t="shared" si="8"/>
        <v>2023</v>
      </c>
      <c r="Q20" s="49">
        <f t="shared" si="9"/>
        <v>9</v>
      </c>
      <c r="R20" s="49">
        <f t="shared" si="10"/>
        <v>1</v>
      </c>
      <c r="S20" s="51">
        <v>45535</v>
      </c>
      <c r="T20" s="54">
        <f t="shared" si="11"/>
        <v>2024</v>
      </c>
      <c r="U20" s="49">
        <f t="shared" si="12"/>
        <v>8</v>
      </c>
      <c r="V20" s="49">
        <f t="shared" si="13"/>
        <v>31</v>
      </c>
      <c r="W20" s="39">
        <f t="shared" si="15"/>
        <v>2.0232675771370764E-3</v>
      </c>
      <c r="X20" s="39">
        <f t="shared" si="16"/>
        <v>3.2154340836012861E-3</v>
      </c>
      <c r="Y20" s="40">
        <f t="shared" si="17"/>
        <v>2.6974951830443161E-3</v>
      </c>
      <c r="Z20" s="31">
        <f t="shared" si="18"/>
        <v>0.75</v>
      </c>
      <c r="AA20" s="2" t="str">
        <f>_xlfn.XLOOKUP(Table1[[#This Row],[No. of Principal Member]],Client_Segments!$A$2:$A$5,Client_Segments!$B$2:$B$5,,1)</f>
        <v>Hares</v>
      </c>
    </row>
    <row r="21" spans="1:27" s="2" customFormat="1" x14ac:dyDescent="0.2">
      <c r="A21" s="30">
        <v>20</v>
      </c>
      <c r="B21" s="30" t="s">
        <v>61</v>
      </c>
      <c r="C21" s="30" t="s">
        <v>17</v>
      </c>
      <c r="D21" s="30" t="s">
        <v>55</v>
      </c>
      <c r="E21" s="49">
        <v>2763650</v>
      </c>
      <c r="F21" s="49">
        <f t="shared" si="0"/>
        <v>138182.5</v>
      </c>
      <c r="G21" s="49">
        <v>170000</v>
      </c>
      <c r="H21" s="22">
        <f t="shared" si="5"/>
        <v>3071832.5</v>
      </c>
      <c r="I21" s="49">
        <v>0</v>
      </c>
      <c r="J21" s="22">
        <f t="shared" si="6"/>
        <v>3071832.5</v>
      </c>
      <c r="K21" s="22">
        <f t="shared" si="7"/>
        <v>341314.72222222225</v>
      </c>
      <c r="L21" s="30">
        <v>9</v>
      </c>
      <c r="M21" s="30">
        <f t="shared" si="1"/>
        <v>8</v>
      </c>
      <c r="N21" s="30">
        <v>17</v>
      </c>
      <c r="O21" s="51">
        <v>45194</v>
      </c>
      <c r="P21" s="54">
        <f t="shared" si="8"/>
        <v>2023</v>
      </c>
      <c r="Q21" s="49">
        <f t="shared" si="9"/>
        <v>9</v>
      </c>
      <c r="R21" s="49">
        <f t="shared" si="10"/>
        <v>25</v>
      </c>
      <c r="S21" s="51">
        <v>45559</v>
      </c>
      <c r="T21" s="54">
        <f t="shared" si="11"/>
        <v>2024</v>
      </c>
      <c r="U21" s="49">
        <f t="shared" si="12"/>
        <v>9</v>
      </c>
      <c r="V21" s="49">
        <f t="shared" si="13"/>
        <v>24</v>
      </c>
      <c r="W21" s="39">
        <f t="shared" si="15"/>
        <v>4.552352048558422E-3</v>
      </c>
      <c r="X21" s="39">
        <f t="shared" si="16"/>
        <v>8.5744908896034297E-3</v>
      </c>
      <c r="Y21" s="40">
        <f t="shared" si="17"/>
        <v>6.5510597302504813E-3</v>
      </c>
      <c r="Z21" s="31">
        <f t="shared" si="18"/>
        <v>0.88888888888888884</v>
      </c>
      <c r="AA21" s="2" t="str">
        <f>_xlfn.XLOOKUP(Table1[[#This Row],[No. of Principal Member]],Client_Segments!$A$2:$A$5,Client_Segments!$B$2:$B$5,,1)</f>
        <v>Hares</v>
      </c>
    </row>
    <row r="22" spans="1:27" s="2" customFormat="1" x14ac:dyDescent="0.2">
      <c r="A22" s="30">
        <v>21</v>
      </c>
      <c r="B22" s="30" t="s">
        <v>109</v>
      </c>
      <c r="C22" s="30" t="s">
        <v>17</v>
      </c>
      <c r="D22" s="30" t="s">
        <v>55</v>
      </c>
      <c r="E22" s="49">
        <v>150324600</v>
      </c>
      <c r="F22" s="49">
        <f t="shared" si="0"/>
        <v>7516230</v>
      </c>
      <c r="G22" s="49">
        <v>1434000</v>
      </c>
      <c r="H22" s="22">
        <f t="shared" si="5"/>
        <v>159274830</v>
      </c>
      <c r="I22" s="49">
        <v>0</v>
      </c>
      <c r="J22" s="22">
        <f t="shared" si="6"/>
        <v>159274830</v>
      </c>
      <c r="K22" s="22">
        <f t="shared" si="7"/>
        <v>403227.41772151901</v>
      </c>
      <c r="L22" s="30">
        <v>395</v>
      </c>
      <c r="M22" s="30">
        <v>395</v>
      </c>
      <c r="N22" s="30">
        <f>395+80</f>
        <v>475</v>
      </c>
      <c r="O22" s="51">
        <v>45204</v>
      </c>
      <c r="P22" s="54">
        <f t="shared" si="8"/>
        <v>2023</v>
      </c>
      <c r="Q22" s="49">
        <f t="shared" si="9"/>
        <v>10</v>
      </c>
      <c r="R22" s="49">
        <f t="shared" si="10"/>
        <v>5</v>
      </c>
      <c r="S22" s="51">
        <v>45569</v>
      </c>
      <c r="T22" s="54">
        <f t="shared" si="11"/>
        <v>2024</v>
      </c>
      <c r="U22" s="49">
        <f t="shared" si="12"/>
        <v>10</v>
      </c>
      <c r="V22" s="49">
        <f t="shared" si="13"/>
        <v>4</v>
      </c>
      <c r="W22" s="39">
        <f t="shared" si="15"/>
        <v>0.19979767324228628</v>
      </c>
      <c r="X22" s="39">
        <f t="shared" si="16"/>
        <v>0.42336548767416937</v>
      </c>
      <c r="Y22" s="40">
        <f t="shared" si="17"/>
        <v>0.18304431599229287</v>
      </c>
      <c r="Z22" s="31">
        <f t="shared" si="18"/>
        <v>1</v>
      </c>
      <c r="AA22" s="2" t="str">
        <f>_xlfn.XLOOKUP(Table1[[#This Row],[No. of Principal Member]],Client_Segments!$A$2:$A$5,Client_Segments!$B$2:$B$5,,1)</f>
        <v>Elephants</v>
      </c>
    </row>
    <row r="23" spans="1:27" s="2" customFormat="1" x14ac:dyDescent="0.2">
      <c r="A23" s="30">
        <v>22</v>
      </c>
      <c r="B23" s="30" t="s">
        <v>110</v>
      </c>
      <c r="C23" s="30" t="s">
        <v>111</v>
      </c>
      <c r="D23" s="30" t="s">
        <v>57</v>
      </c>
      <c r="E23" s="49">
        <v>23189154</v>
      </c>
      <c r="F23" s="49">
        <f t="shared" si="0"/>
        <v>1159457.7</v>
      </c>
      <c r="G23" s="49">
        <v>340000</v>
      </c>
      <c r="H23" s="22">
        <f t="shared" si="5"/>
        <v>24688611.699999999</v>
      </c>
      <c r="I23" s="49">
        <v>0</v>
      </c>
      <c r="J23" s="22">
        <f t="shared" si="6"/>
        <v>24688611.699999999</v>
      </c>
      <c r="K23" s="22">
        <f t="shared" si="7"/>
        <v>1234430.585</v>
      </c>
      <c r="L23" s="30">
        <v>20</v>
      </c>
      <c r="M23" s="30">
        <f t="shared" ref="M23:M28" si="19">N23-L23</f>
        <v>48</v>
      </c>
      <c r="N23" s="30">
        <v>68</v>
      </c>
      <c r="O23" s="51">
        <v>45206</v>
      </c>
      <c r="P23" s="54">
        <f t="shared" si="8"/>
        <v>2023</v>
      </c>
      <c r="Q23" s="49">
        <f t="shared" si="9"/>
        <v>10</v>
      </c>
      <c r="R23" s="49">
        <f t="shared" si="10"/>
        <v>7</v>
      </c>
      <c r="S23" s="51">
        <v>45571</v>
      </c>
      <c r="T23" s="54">
        <f t="shared" si="11"/>
        <v>2024</v>
      </c>
      <c r="U23" s="49">
        <f t="shared" si="12"/>
        <v>10</v>
      </c>
      <c r="V23" s="49">
        <f t="shared" si="13"/>
        <v>6</v>
      </c>
      <c r="W23" s="39">
        <f t="shared" si="15"/>
        <v>1.0116337885685382E-2</v>
      </c>
      <c r="X23" s="39">
        <f t="shared" si="16"/>
        <v>5.1446945337620578E-2</v>
      </c>
      <c r="Y23" s="40">
        <f t="shared" si="17"/>
        <v>2.6204238921001925E-2</v>
      </c>
      <c r="Z23" s="31">
        <f t="shared" si="18"/>
        <v>2.4</v>
      </c>
      <c r="AA23" s="2" t="str">
        <f>_xlfn.XLOOKUP(Table1[[#This Row],[No. of Principal Member]],Client_Segments!$A$2:$A$5,Client_Segments!$B$2:$B$5,,1)</f>
        <v>Hares</v>
      </c>
    </row>
    <row r="24" spans="1:27" s="2" customFormat="1" x14ac:dyDescent="0.2">
      <c r="A24" s="32">
        <v>23</v>
      </c>
      <c r="B24" s="30" t="s">
        <v>62</v>
      </c>
      <c r="C24" s="30" t="s">
        <v>17</v>
      </c>
      <c r="D24" s="30" t="s">
        <v>55</v>
      </c>
      <c r="E24" s="22">
        <v>1555168</v>
      </c>
      <c r="F24" s="22">
        <f t="shared" si="0"/>
        <v>77758.400000000009</v>
      </c>
      <c r="G24" s="22">
        <v>30000</v>
      </c>
      <c r="H24" s="22">
        <f t="shared" si="5"/>
        <v>1662926.4</v>
      </c>
      <c r="I24" s="22">
        <v>0</v>
      </c>
      <c r="J24" s="22">
        <f t="shared" si="6"/>
        <v>1662926.4</v>
      </c>
      <c r="K24" s="22">
        <f t="shared" si="7"/>
        <v>1662926.4</v>
      </c>
      <c r="L24" s="30">
        <v>1</v>
      </c>
      <c r="M24" s="30">
        <f t="shared" si="19"/>
        <v>2</v>
      </c>
      <c r="N24" s="30">
        <v>3</v>
      </c>
      <c r="O24" s="51">
        <v>45206</v>
      </c>
      <c r="P24" s="54">
        <f t="shared" si="8"/>
        <v>2023</v>
      </c>
      <c r="Q24" s="49">
        <f t="shared" si="9"/>
        <v>10</v>
      </c>
      <c r="R24" s="49">
        <f t="shared" si="10"/>
        <v>7</v>
      </c>
      <c r="S24" s="51">
        <v>45571</v>
      </c>
      <c r="T24" s="54">
        <f t="shared" si="11"/>
        <v>2024</v>
      </c>
      <c r="U24" s="49">
        <f t="shared" si="12"/>
        <v>10</v>
      </c>
      <c r="V24" s="49">
        <f t="shared" si="13"/>
        <v>6</v>
      </c>
      <c r="W24" s="41">
        <f t="shared" si="15"/>
        <v>5.0581689428426911E-4</v>
      </c>
      <c r="X24" s="41">
        <f t="shared" si="16"/>
        <v>2.1436227224008574E-3</v>
      </c>
      <c r="Y24" s="42">
        <f t="shared" si="17"/>
        <v>1.1560693641618498E-3</v>
      </c>
      <c r="Z24" s="33">
        <f t="shared" si="18"/>
        <v>2</v>
      </c>
      <c r="AA24" s="2" t="str">
        <f>_xlfn.XLOOKUP(Table1[[#This Row],[No. of Principal Member]],Client_Segments!$A$2:$A$5,Client_Segments!$B$2:$B$5,,1)</f>
        <v>Hares</v>
      </c>
    </row>
    <row r="25" spans="1:27" s="2" customFormat="1" x14ac:dyDescent="0.2">
      <c r="A25" s="30">
        <v>24</v>
      </c>
      <c r="B25" s="30" t="s">
        <v>101</v>
      </c>
      <c r="C25" s="30" t="s">
        <v>17</v>
      </c>
      <c r="D25" s="30" t="s">
        <v>55</v>
      </c>
      <c r="E25" s="22">
        <v>1463279</v>
      </c>
      <c r="F25" s="22">
        <f t="shared" si="0"/>
        <v>73163.95</v>
      </c>
      <c r="G25" s="22">
        <v>40000</v>
      </c>
      <c r="H25" s="22">
        <f t="shared" si="5"/>
        <v>1576442.95</v>
      </c>
      <c r="I25" s="22">
        <v>0</v>
      </c>
      <c r="J25" s="22">
        <f t="shared" si="6"/>
        <v>1576442.95</v>
      </c>
      <c r="K25" s="22">
        <f t="shared" si="7"/>
        <v>1576442.95</v>
      </c>
      <c r="L25" s="30">
        <v>1</v>
      </c>
      <c r="M25" s="30">
        <f t="shared" si="19"/>
        <v>3</v>
      </c>
      <c r="N25" s="30">
        <v>4</v>
      </c>
      <c r="O25" s="51">
        <v>45218</v>
      </c>
      <c r="P25" s="54">
        <f t="shared" si="8"/>
        <v>2023</v>
      </c>
      <c r="Q25" s="49">
        <f t="shared" si="9"/>
        <v>10</v>
      </c>
      <c r="R25" s="49">
        <f t="shared" si="10"/>
        <v>19</v>
      </c>
      <c r="S25" s="51">
        <v>45583</v>
      </c>
      <c r="T25" s="54">
        <f t="shared" si="11"/>
        <v>2024</v>
      </c>
      <c r="U25" s="49">
        <f t="shared" si="12"/>
        <v>10</v>
      </c>
      <c r="V25" s="49">
        <f t="shared" si="13"/>
        <v>18</v>
      </c>
      <c r="W25" s="41">
        <f t="shared" si="15"/>
        <v>5.0581689428426911E-4</v>
      </c>
      <c r="X25" s="41">
        <f t="shared" si="16"/>
        <v>3.2154340836012861E-3</v>
      </c>
      <c r="Y25" s="42">
        <f t="shared" si="17"/>
        <v>1.5414258188824663E-3</v>
      </c>
      <c r="Z25" s="31">
        <f t="shared" ref="Z25:Z28" si="20">M25/L25</f>
        <v>3</v>
      </c>
      <c r="AA25" s="2" t="str">
        <f>_xlfn.XLOOKUP(Table1[[#This Row],[No. of Principal Member]],Client_Segments!$A$2:$A$5,Client_Segments!$B$2:$B$5,,1)</f>
        <v>Hares</v>
      </c>
    </row>
    <row r="26" spans="1:27" s="2" customFormat="1" x14ac:dyDescent="0.2">
      <c r="A26" s="30">
        <v>25</v>
      </c>
      <c r="B26" s="30" t="s">
        <v>112</v>
      </c>
      <c r="C26" s="30" t="s">
        <v>17</v>
      </c>
      <c r="D26" s="30" t="s">
        <v>55</v>
      </c>
      <c r="E26" s="22">
        <v>1888962</v>
      </c>
      <c r="F26" s="22">
        <f t="shared" si="0"/>
        <v>94448.1</v>
      </c>
      <c r="G26" s="22">
        <v>50000</v>
      </c>
      <c r="H26" s="22">
        <f t="shared" si="5"/>
        <v>2033410.1</v>
      </c>
      <c r="I26" s="22">
        <v>0</v>
      </c>
      <c r="J26" s="22">
        <f t="shared" si="6"/>
        <v>2033410.1</v>
      </c>
      <c r="K26" s="22">
        <f t="shared" si="7"/>
        <v>677803.3666666667</v>
      </c>
      <c r="L26" s="30">
        <v>3</v>
      </c>
      <c r="M26" s="30">
        <f t="shared" si="19"/>
        <v>2</v>
      </c>
      <c r="N26" s="30">
        <v>5</v>
      </c>
      <c r="O26" s="51">
        <v>45223</v>
      </c>
      <c r="P26" s="54">
        <f t="shared" si="8"/>
        <v>2023</v>
      </c>
      <c r="Q26" s="49">
        <f t="shared" si="9"/>
        <v>10</v>
      </c>
      <c r="R26" s="49">
        <f t="shared" si="10"/>
        <v>24</v>
      </c>
      <c r="S26" s="51">
        <v>45588</v>
      </c>
      <c r="T26" s="54">
        <f t="shared" si="11"/>
        <v>2024</v>
      </c>
      <c r="U26" s="49">
        <f t="shared" si="12"/>
        <v>10</v>
      </c>
      <c r="V26" s="49">
        <f t="shared" si="13"/>
        <v>23</v>
      </c>
      <c r="W26" s="41">
        <f t="shared" si="15"/>
        <v>1.5174506828528073E-3</v>
      </c>
      <c r="X26" s="41">
        <f t="shared" si="16"/>
        <v>2.1436227224008574E-3</v>
      </c>
      <c r="Y26" s="42">
        <f t="shared" si="17"/>
        <v>1.9267822736030828E-3</v>
      </c>
      <c r="Z26" s="31">
        <f t="shared" si="20"/>
        <v>0.66666666666666663</v>
      </c>
      <c r="AA26" s="2" t="str">
        <f>_xlfn.XLOOKUP(Table1[[#This Row],[No. of Principal Member]],Client_Segments!$A$2:$A$5,Client_Segments!$B$2:$B$5,,1)</f>
        <v>Hares</v>
      </c>
    </row>
    <row r="27" spans="1:27" s="2" customFormat="1" x14ac:dyDescent="0.2">
      <c r="A27" s="32">
        <v>26</v>
      </c>
      <c r="B27" s="30" t="s">
        <v>102</v>
      </c>
      <c r="C27" s="30" t="s">
        <v>17</v>
      </c>
      <c r="D27" s="30" t="s">
        <v>55</v>
      </c>
      <c r="E27" s="22">
        <v>2468070</v>
      </c>
      <c r="F27" s="22">
        <f t="shared" si="0"/>
        <v>123403.5</v>
      </c>
      <c r="G27" s="22">
        <v>70000</v>
      </c>
      <c r="H27" s="22">
        <f t="shared" si="5"/>
        <v>2661473.5</v>
      </c>
      <c r="I27" s="22">
        <v>0</v>
      </c>
      <c r="J27" s="22">
        <f t="shared" si="6"/>
        <v>2661473.5</v>
      </c>
      <c r="K27" s="22">
        <f t="shared" si="7"/>
        <v>532294.69999999995</v>
      </c>
      <c r="L27" s="30">
        <v>5</v>
      </c>
      <c r="M27" s="30">
        <f t="shared" si="19"/>
        <v>2</v>
      </c>
      <c r="N27" s="30">
        <v>7</v>
      </c>
      <c r="O27" s="51">
        <v>45224</v>
      </c>
      <c r="P27" s="54">
        <f t="shared" si="8"/>
        <v>2023</v>
      </c>
      <c r="Q27" s="49">
        <f t="shared" si="9"/>
        <v>10</v>
      </c>
      <c r="R27" s="49">
        <f t="shared" si="10"/>
        <v>25</v>
      </c>
      <c r="S27" s="51">
        <v>45589</v>
      </c>
      <c r="T27" s="54">
        <f t="shared" si="11"/>
        <v>2024</v>
      </c>
      <c r="U27" s="49">
        <f t="shared" si="12"/>
        <v>10</v>
      </c>
      <c r="V27" s="49">
        <f t="shared" si="13"/>
        <v>24</v>
      </c>
      <c r="W27" s="41">
        <f t="shared" si="15"/>
        <v>2.5290844714213456E-3</v>
      </c>
      <c r="X27" s="41">
        <f t="shared" si="16"/>
        <v>2.1436227224008574E-3</v>
      </c>
      <c r="Y27" s="42">
        <f t="shared" si="17"/>
        <v>2.6974951830443161E-3</v>
      </c>
      <c r="Z27" s="31">
        <f t="shared" si="20"/>
        <v>0.4</v>
      </c>
      <c r="AA27" s="2" t="str">
        <f>_xlfn.XLOOKUP(Table1[[#This Row],[No. of Principal Member]],Client_Segments!$A$2:$A$5,Client_Segments!$B$2:$B$5,,1)</f>
        <v>Hares</v>
      </c>
    </row>
    <row r="28" spans="1:27" s="2" customFormat="1" x14ac:dyDescent="0.2">
      <c r="A28" s="30">
        <v>27</v>
      </c>
      <c r="B28" s="30" t="s">
        <v>113</v>
      </c>
      <c r="C28" s="30" t="s">
        <v>17</v>
      </c>
      <c r="D28" s="30" t="s">
        <v>56</v>
      </c>
      <c r="E28" s="22">
        <v>4823725</v>
      </c>
      <c r="F28" s="22">
        <f t="shared" si="0"/>
        <v>241186.25</v>
      </c>
      <c r="G28" s="22">
        <v>140000</v>
      </c>
      <c r="H28" s="22">
        <f t="shared" si="5"/>
        <v>5204911.25</v>
      </c>
      <c r="I28" s="22">
        <v>0</v>
      </c>
      <c r="J28" s="22">
        <f t="shared" si="6"/>
        <v>5204911.25</v>
      </c>
      <c r="K28" s="22">
        <f t="shared" si="7"/>
        <v>1301227.8125</v>
      </c>
      <c r="L28" s="30">
        <v>4</v>
      </c>
      <c r="M28" s="30">
        <f t="shared" si="19"/>
        <v>10</v>
      </c>
      <c r="N28" s="30">
        <v>14</v>
      </c>
      <c r="O28" s="51">
        <v>45230</v>
      </c>
      <c r="P28" s="54">
        <f t="shared" si="8"/>
        <v>2023</v>
      </c>
      <c r="Q28" s="49">
        <f t="shared" si="9"/>
        <v>10</v>
      </c>
      <c r="R28" s="49">
        <f t="shared" si="10"/>
        <v>31</v>
      </c>
      <c r="S28" s="51">
        <v>45595</v>
      </c>
      <c r="T28" s="54">
        <f t="shared" si="11"/>
        <v>2024</v>
      </c>
      <c r="U28" s="49">
        <f t="shared" si="12"/>
        <v>10</v>
      </c>
      <c r="V28" s="49">
        <f t="shared" si="13"/>
        <v>30</v>
      </c>
      <c r="W28" s="41">
        <f t="shared" si="15"/>
        <v>2.0232675771370764E-3</v>
      </c>
      <c r="X28" s="41">
        <f t="shared" si="16"/>
        <v>1.0718113612004287E-2</v>
      </c>
      <c r="Y28" s="42">
        <f t="shared" si="17"/>
        <v>5.3949903660886322E-3</v>
      </c>
      <c r="Z28" s="33">
        <f t="shared" si="20"/>
        <v>2.5</v>
      </c>
      <c r="AA28" s="2" t="str">
        <f>_xlfn.XLOOKUP(Table1[[#This Row],[No. of Principal Member]],Client_Segments!$A$2:$A$5,Client_Segments!$B$2:$B$5,,1)</f>
        <v>Hares</v>
      </c>
    </row>
    <row r="29" spans="1:27" s="2" customFormat="1" x14ac:dyDescent="0.2">
      <c r="A29" s="30">
        <v>28</v>
      </c>
      <c r="B29" s="30" t="s">
        <v>114</v>
      </c>
      <c r="C29" s="30" t="s">
        <v>17</v>
      </c>
      <c r="D29" s="30" t="s">
        <v>55</v>
      </c>
      <c r="E29" s="22">
        <v>464822</v>
      </c>
      <c r="F29" s="22">
        <f t="shared" si="0"/>
        <v>23241.100000000002</v>
      </c>
      <c r="G29" s="22">
        <v>10000</v>
      </c>
      <c r="H29" s="22">
        <f>SUM(E29:G29)</f>
        <v>498063.1</v>
      </c>
      <c r="I29" s="22">
        <v>0</v>
      </c>
      <c r="J29" s="22">
        <f t="shared" si="6"/>
        <v>498063.1</v>
      </c>
      <c r="K29" s="50">
        <f>J29/L29</f>
        <v>498063.1</v>
      </c>
      <c r="L29" s="30">
        <v>1</v>
      </c>
      <c r="M29" s="30">
        <v>0</v>
      </c>
      <c r="N29" s="30">
        <v>1</v>
      </c>
      <c r="O29" s="51">
        <v>45244</v>
      </c>
      <c r="P29" s="54">
        <f t="shared" si="8"/>
        <v>2023</v>
      </c>
      <c r="Q29" s="49">
        <f t="shared" si="9"/>
        <v>11</v>
      </c>
      <c r="R29" s="49">
        <f t="shared" si="10"/>
        <v>14</v>
      </c>
      <c r="S29" s="51">
        <v>45243</v>
      </c>
      <c r="T29" s="54">
        <f t="shared" si="11"/>
        <v>2023</v>
      </c>
      <c r="U29" s="49">
        <f t="shared" si="12"/>
        <v>11</v>
      </c>
      <c r="V29" s="49">
        <f t="shared" si="13"/>
        <v>13</v>
      </c>
      <c r="W29" s="39">
        <f t="shared" ref="W29:W50" si="21">L29/$L$75</f>
        <v>5.0581689428426911E-4</v>
      </c>
      <c r="X29" s="39">
        <f t="shared" ref="X29:X50" si="22">M29/$M$75</f>
        <v>0</v>
      </c>
      <c r="Y29" s="40">
        <f t="shared" ref="Y29:Y50" si="23">N29/$N$75</f>
        <v>3.8535645472061658E-4</v>
      </c>
      <c r="Z29" s="31">
        <f t="shared" ref="Z29:Z35" si="24">M29/L29</f>
        <v>0</v>
      </c>
      <c r="AA29" s="2" t="str">
        <f>_xlfn.XLOOKUP(Table1[[#This Row],[No. of Principal Member]],Client_Segments!$A$2:$A$5,Client_Segments!$B$2:$B$5,,1)</f>
        <v>Hares</v>
      </c>
    </row>
    <row r="30" spans="1:27" s="2" customFormat="1" x14ac:dyDescent="0.2">
      <c r="A30" s="32">
        <v>29</v>
      </c>
      <c r="B30" s="30" t="s">
        <v>115</v>
      </c>
      <c r="C30" s="30" t="s">
        <v>17</v>
      </c>
      <c r="D30" s="30" t="s">
        <v>55</v>
      </c>
      <c r="E30" s="22">
        <f>10019094+2178144</f>
        <v>12197238</v>
      </c>
      <c r="F30" s="22">
        <f t="shared" si="0"/>
        <v>609861.9</v>
      </c>
      <c r="G30" s="22">
        <f>60000+280000</f>
        <v>340000</v>
      </c>
      <c r="H30" s="22">
        <f t="shared" si="5"/>
        <v>13147099.9</v>
      </c>
      <c r="I30" s="22">
        <v>0</v>
      </c>
      <c r="J30" s="22">
        <f t="shared" si="6"/>
        <v>13147099.9</v>
      </c>
      <c r="K30" s="22">
        <f t="shared" si="7"/>
        <v>876473.32666666666</v>
      </c>
      <c r="L30" s="30">
        <v>15</v>
      </c>
      <c r="M30" s="30">
        <v>19</v>
      </c>
      <c r="N30" s="30">
        <f>SUM(L30:M30)</f>
        <v>34</v>
      </c>
      <c r="O30" s="51">
        <v>45246</v>
      </c>
      <c r="P30" s="54">
        <f t="shared" si="8"/>
        <v>2023</v>
      </c>
      <c r="Q30" s="49">
        <f t="shared" si="9"/>
        <v>11</v>
      </c>
      <c r="R30" s="49">
        <f t="shared" si="10"/>
        <v>16</v>
      </c>
      <c r="S30" s="51">
        <v>45245</v>
      </c>
      <c r="T30" s="54">
        <f t="shared" si="11"/>
        <v>2023</v>
      </c>
      <c r="U30" s="49">
        <f t="shared" si="12"/>
        <v>11</v>
      </c>
      <c r="V30" s="49">
        <f t="shared" si="13"/>
        <v>15</v>
      </c>
      <c r="W30" s="39">
        <f t="shared" si="21"/>
        <v>7.5872534142640367E-3</v>
      </c>
      <c r="X30" s="39">
        <f t="shared" si="22"/>
        <v>2.0364415862808145E-2</v>
      </c>
      <c r="Y30" s="40">
        <f t="shared" si="23"/>
        <v>1.3102119460500963E-2</v>
      </c>
      <c r="Z30" s="31">
        <f t="shared" si="24"/>
        <v>1.2666666666666666</v>
      </c>
      <c r="AA30" s="2" t="str">
        <f>_xlfn.XLOOKUP(Table1[[#This Row],[No. of Principal Member]],Client_Segments!$A$2:$A$5,Client_Segments!$B$2:$B$5,,1)</f>
        <v>Hares</v>
      </c>
    </row>
    <row r="31" spans="1:27" s="2" customFormat="1" x14ac:dyDescent="0.2">
      <c r="A31" s="30">
        <v>30</v>
      </c>
      <c r="B31" s="30" t="s">
        <v>116</v>
      </c>
      <c r="C31" s="30" t="s">
        <v>17</v>
      </c>
      <c r="D31" s="30" t="s">
        <v>55</v>
      </c>
      <c r="E31" s="22">
        <v>620086</v>
      </c>
      <c r="F31" s="22">
        <f t="shared" si="0"/>
        <v>31004.300000000003</v>
      </c>
      <c r="G31" s="22">
        <v>10000</v>
      </c>
      <c r="H31" s="22">
        <f t="shared" si="5"/>
        <v>661090.30000000005</v>
      </c>
      <c r="I31" s="22">
        <v>0</v>
      </c>
      <c r="J31" s="22">
        <f t="shared" si="6"/>
        <v>661090.30000000005</v>
      </c>
      <c r="K31" s="22">
        <f t="shared" si="7"/>
        <v>661090.30000000005</v>
      </c>
      <c r="L31" s="30">
        <v>1</v>
      </c>
      <c r="M31" s="30">
        <v>0</v>
      </c>
      <c r="N31" s="30">
        <v>1</v>
      </c>
      <c r="O31" s="51">
        <v>45254</v>
      </c>
      <c r="P31" s="54">
        <f t="shared" si="8"/>
        <v>2023</v>
      </c>
      <c r="Q31" s="49">
        <f t="shared" si="9"/>
        <v>11</v>
      </c>
      <c r="R31" s="49">
        <f t="shared" si="10"/>
        <v>24</v>
      </c>
      <c r="S31" s="51">
        <v>45253</v>
      </c>
      <c r="T31" s="54">
        <f t="shared" si="11"/>
        <v>2023</v>
      </c>
      <c r="U31" s="49">
        <f t="shared" si="12"/>
        <v>11</v>
      </c>
      <c r="V31" s="49">
        <f t="shared" si="13"/>
        <v>23</v>
      </c>
      <c r="W31" s="39">
        <f t="shared" si="21"/>
        <v>5.0581689428426911E-4</v>
      </c>
      <c r="X31" s="39">
        <f t="shared" si="22"/>
        <v>0</v>
      </c>
      <c r="Y31" s="40">
        <f t="shared" si="23"/>
        <v>3.8535645472061658E-4</v>
      </c>
      <c r="Z31" s="31">
        <f t="shared" si="24"/>
        <v>0</v>
      </c>
      <c r="AA31" s="2" t="str">
        <f>_xlfn.XLOOKUP(Table1[[#This Row],[No. of Principal Member]],Client_Segments!$A$2:$A$5,Client_Segments!$B$2:$B$5,,1)</f>
        <v>Hares</v>
      </c>
    </row>
    <row r="32" spans="1:27" s="2" customFormat="1" x14ac:dyDescent="0.2">
      <c r="A32" s="30">
        <v>31</v>
      </c>
      <c r="B32" s="30" t="s">
        <v>117</v>
      </c>
      <c r="C32" s="30" t="s">
        <v>17</v>
      </c>
      <c r="D32" s="30" t="s">
        <v>55</v>
      </c>
      <c r="E32" s="22">
        <v>1150690</v>
      </c>
      <c r="F32" s="22">
        <f t="shared" si="0"/>
        <v>57534.5</v>
      </c>
      <c r="G32" s="22">
        <v>30000</v>
      </c>
      <c r="H32" s="22">
        <f t="shared" si="5"/>
        <v>1238224.5</v>
      </c>
      <c r="I32" s="22">
        <v>0</v>
      </c>
      <c r="J32" s="22">
        <f t="shared" si="6"/>
        <v>1238224.5</v>
      </c>
      <c r="K32" s="22">
        <f t="shared" si="7"/>
        <v>1238224.5</v>
      </c>
      <c r="L32" s="30">
        <v>1</v>
      </c>
      <c r="M32" s="30">
        <v>2</v>
      </c>
      <c r="N32" s="30">
        <v>3</v>
      </c>
      <c r="O32" s="51">
        <v>45247</v>
      </c>
      <c r="P32" s="54">
        <f t="shared" si="8"/>
        <v>2023</v>
      </c>
      <c r="Q32" s="49">
        <f t="shared" si="9"/>
        <v>11</v>
      </c>
      <c r="R32" s="49">
        <f t="shared" si="10"/>
        <v>17</v>
      </c>
      <c r="S32" s="51">
        <v>45246</v>
      </c>
      <c r="T32" s="54">
        <f t="shared" si="11"/>
        <v>2023</v>
      </c>
      <c r="U32" s="49">
        <f t="shared" si="12"/>
        <v>11</v>
      </c>
      <c r="V32" s="49">
        <f t="shared" si="13"/>
        <v>16</v>
      </c>
      <c r="W32" s="39">
        <f t="shared" si="21"/>
        <v>5.0581689428426911E-4</v>
      </c>
      <c r="X32" s="39">
        <f t="shared" si="22"/>
        <v>2.1436227224008574E-3</v>
      </c>
      <c r="Y32" s="40">
        <f t="shared" si="23"/>
        <v>1.1560693641618498E-3</v>
      </c>
      <c r="Z32" s="31">
        <f t="shared" si="24"/>
        <v>2</v>
      </c>
      <c r="AA32" s="2" t="str">
        <f>_xlfn.XLOOKUP(Table1[[#This Row],[No. of Principal Member]],Client_Segments!$A$2:$A$5,Client_Segments!$B$2:$B$5,,1)</f>
        <v>Hares</v>
      </c>
    </row>
    <row r="33" spans="1:27" s="2" customFormat="1" x14ac:dyDescent="0.2">
      <c r="A33" s="32">
        <v>32</v>
      </c>
      <c r="B33" s="30" t="s">
        <v>118</v>
      </c>
      <c r="C33" s="30" t="s">
        <v>17</v>
      </c>
      <c r="D33" s="30" t="s">
        <v>55</v>
      </c>
      <c r="E33" s="22">
        <f>2732418+1515425</f>
        <v>4247843</v>
      </c>
      <c r="F33" s="22">
        <f t="shared" si="0"/>
        <v>212392.15000000002</v>
      </c>
      <c r="G33" s="22">
        <f>60000+70000</f>
        <v>130000</v>
      </c>
      <c r="H33" s="22">
        <f t="shared" si="5"/>
        <v>4590235.1500000004</v>
      </c>
      <c r="I33" s="22">
        <v>0</v>
      </c>
      <c r="J33" s="22">
        <f t="shared" si="6"/>
        <v>4590235.1500000004</v>
      </c>
      <c r="K33" s="22">
        <f t="shared" si="7"/>
        <v>918047.03</v>
      </c>
      <c r="L33" s="30">
        <v>5</v>
      </c>
      <c r="M33" s="30">
        <v>8</v>
      </c>
      <c r="N33" s="30">
        <f>13</f>
        <v>13</v>
      </c>
      <c r="O33" s="51">
        <v>45272</v>
      </c>
      <c r="P33" s="54">
        <f t="shared" si="8"/>
        <v>2023</v>
      </c>
      <c r="Q33" s="49">
        <f t="shared" si="9"/>
        <v>12</v>
      </c>
      <c r="R33" s="49">
        <f t="shared" si="10"/>
        <v>12</v>
      </c>
      <c r="S33" s="51">
        <v>45271</v>
      </c>
      <c r="T33" s="54">
        <f t="shared" si="11"/>
        <v>2023</v>
      </c>
      <c r="U33" s="49">
        <f t="shared" si="12"/>
        <v>12</v>
      </c>
      <c r="V33" s="49">
        <f t="shared" si="13"/>
        <v>11</v>
      </c>
      <c r="W33" s="39">
        <f t="shared" si="21"/>
        <v>2.5290844714213456E-3</v>
      </c>
      <c r="X33" s="39">
        <f t="shared" si="22"/>
        <v>8.5744908896034297E-3</v>
      </c>
      <c r="Y33" s="40">
        <f t="shared" si="23"/>
        <v>5.0096339113680152E-3</v>
      </c>
      <c r="Z33" s="31">
        <f t="shared" si="24"/>
        <v>1.6</v>
      </c>
      <c r="AA33" s="2" t="str">
        <f>_xlfn.XLOOKUP(Table1[[#This Row],[No. of Principal Member]],Client_Segments!$A$2:$A$5,Client_Segments!$B$2:$B$5,,1)</f>
        <v>Hares</v>
      </c>
    </row>
    <row r="34" spans="1:27" s="2" customFormat="1" x14ac:dyDescent="0.2">
      <c r="A34" s="30">
        <v>33</v>
      </c>
      <c r="B34" s="30" t="s">
        <v>119</v>
      </c>
      <c r="C34" s="30" t="s">
        <v>17</v>
      </c>
      <c r="D34" s="30" t="s">
        <v>55</v>
      </c>
      <c r="E34" s="22">
        <v>457803</v>
      </c>
      <c r="F34" s="22">
        <f t="shared" si="0"/>
        <v>22890.15</v>
      </c>
      <c r="G34" s="22">
        <v>10000</v>
      </c>
      <c r="H34" s="22">
        <f t="shared" si="5"/>
        <v>490693.15</v>
      </c>
      <c r="I34" s="22">
        <v>0</v>
      </c>
      <c r="J34" s="22">
        <f t="shared" si="6"/>
        <v>490693.15</v>
      </c>
      <c r="K34" s="22">
        <f t="shared" si="7"/>
        <v>490693.15</v>
      </c>
      <c r="L34" s="30">
        <v>1</v>
      </c>
      <c r="M34" s="30">
        <v>0</v>
      </c>
      <c r="N34" s="30">
        <v>1</v>
      </c>
      <c r="O34" s="51">
        <v>45273</v>
      </c>
      <c r="P34" s="54">
        <f t="shared" si="8"/>
        <v>2023</v>
      </c>
      <c r="Q34" s="49">
        <f t="shared" si="9"/>
        <v>12</v>
      </c>
      <c r="R34" s="49">
        <f t="shared" si="10"/>
        <v>13</v>
      </c>
      <c r="S34" s="51">
        <v>45272</v>
      </c>
      <c r="T34" s="54">
        <f t="shared" si="11"/>
        <v>2023</v>
      </c>
      <c r="U34" s="49">
        <f t="shared" si="12"/>
        <v>12</v>
      </c>
      <c r="V34" s="49">
        <f t="shared" si="13"/>
        <v>12</v>
      </c>
      <c r="W34" s="39">
        <f t="shared" si="21"/>
        <v>5.0581689428426911E-4</v>
      </c>
      <c r="X34" s="39">
        <f t="shared" si="22"/>
        <v>0</v>
      </c>
      <c r="Y34" s="40">
        <f t="shared" si="23"/>
        <v>3.8535645472061658E-4</v>
      </c>
      <c r="Z34" s="31">
        <f t="shared" si="24"/>
        <v>0</v>
      </c>
      <c r="AA34" s="2" t="str">
        <f>_xlfn.XLOOKUP(Table1[[#This Row],[No. of Principal Member]],Client_Segments!$A$2:$A$5,Client_Segments!$B$2:$B$5,,1)</f>
        <v>Hares</v>
      </c>
    </row>
    <row r="35" spans="1:27" s="2" customFormat="1" x14ac:dyDescent="0.2">
      <c r="A35" s="30">
        <v>34</v>
      </c>
      <c r="B35" s="30" t="s">
        <v>120</v>
      </c>
      <c r="C35" s="30" t="s">
        <v>17</v>
      </c>
      <c r="D35" s="30" t="s">
        <v>56</v>
      </c>
      <c r="E35" s="22">
        <v>15702822</v>
      </c>
      <c r="F35" s="22">
        <f t="shared" si="0"/>
        <v>785141.10000000009</v>
      </c>
      <c r="G35" s="22">
        <v>300000</v>
      </c>
      <c r="H35" s="22">
        <f t="shared" si="5"/>
        <v>16787963.100000001</v>
      </c>
      <c r="I35" s="22">
        <v>0</v>
      </c>
      <c r="J35" s="22">
        <f t="shared" si="6"/>
        <v>16787963.100000001</v>
      </c>
      <c r="K35" s="22">
        <f t="shared" si="7"/>
        <v>1526178.4636363639</v>
      </c>
      <c r="L35" s="30">
        <v>11</v>
      </c>
      <c r="M35" s="30">
        <v>19</v>
      </c>
      <c r="N35" s="30">
        <f>L35+M35</f>
        <v>30</v>
      </c>
      <c r="O35" s="51">
        <v>45287</v>
      </c>
      <c r="P35" s="54">
        <f t="shared" si="8"/>
        <v>2023</v>
      </c>
      <c r="Q35" s="49">
        <f t="shared" si="9"/>
        <v>12</v>
      </c>
      <c r="R35" s="49">
        <f t="shared" si="10"/>
        <v>27</v>
      </c>
      <c r="S35" s="51">
        <v>45286</v>
      </c>
      <c r="T35" s="54">
        <f t="shared" si="11"/>
        <v>2023</v>
      </c>
      <c r="U35" s="49">
        <f t="shared" si="12"/>
        <v>12</v>
      </c>
      <c r="V35" s="49">
        <f t="shared" si="13"/>
        <v>26</v>
      </c>
      <c r="W35" s="39">
        <f t="shared" si="21"/>
        <v>5.5639858371269602E-3</v>
      </c>
      <c r="X35" s="39">
        <f t="shared" si="22"/>
        <v>2.0364415862808145E-2</v>
      </c>
      <c r="Y35" s="40">
        <f t="shared" si="23"/>
        <v>1.1560693641618497E-2</v>
      </c>
      <c r="Z35" s="31">
        <f t="shared" si="24"/>
        <v>1.7272727272727273</v>
      </c>
      <c r="AA35" s="2" t="str">
        <f>_xlfn.XLOOKUP(Table1[[#This Row],[No. of Principal Member]],Client_Segments!$A$2:$A$5,Client_Segments!$B$2:$B$5,,1)</f>
        <v>Hares</v>
      </c>
    </row>
    <row r="36" spans="1:27" s="2" customFormat="1" x14ac:dyDescent="0.2">
      <c r="A36" s="32">
        <v>35</v>
      </c>
      <c r="B36" s="30" t="s">
        <v>124</v>
      </c>
      <c r="C36" s="30" t="s">
        <v>17</v>
      </c>
      <c r="D36" s="30" t="s">
        <v>55</v>
      </c>
      <c r="E36" s="22">
        <v>1405258</v>
      </c>
      <c r="F36" s="22">
        <f t="shared" si="0"/>
        <v>70262.900000000009</v>
      </c>
      <c r="G36" s="22">
        <v>30000</v>
      </c>
      <c r="H36" s="22">
        <f t="shared" ref="H36:H50" si="25">SUM(E36:G36)</f>
        <v>1505520.9</v>
      </c>
      <c r="I36" s="22">
        <v>0</v>
      </c>
      <c r="J36" s="22">
        <f t="shared" ref="J36:J50" si="26">SUM(H36:I36)</f>
        <v>1505520.9</v>
      </c>
      <c r="K36" s="22">
        <f t="shared" ref="K36:K50" si="27">J36/L36</f>
        <v>501840.3</v>
      </c>
      <c r="L36" s="30">
        <v>3</v>
      </c>
      <c r="M36" s="30">
        <v>0</v>
      </c>
      <c r="N36" s="30">
        <f t="shared" ref="N36:N50" si="28">L36+M36</f>
        <v>3</v>
      </c>
      <c r="O36" s="51">
        <v>45292</v>
      </c>
      <c r="P36" s="54">
        <f t="shared" si="8"/>
        <v>2024</v>
      </c>
      <c r="Q36" s="49">
        <f t="shared" si="9"/>
        <v>1</v>
      </c>
      <c r="R36" s="49">
        <f t="shared" si="10"/>
        <v>1</v>
      </c>
      <c r="S36" s="51">
        <v>45657</v>
      </c>
      <c r="T36" s="54">
        <f t="shared" si="11"/>
        <v>2024</v>
      </c>
      <c r="U36" s="49">
        <f t="shared" si="12"/>
        <v>12</v>
      </c>
      <c r="V36" s="49">
        <f t="shared" si="13"/>
        <v>31</v>
      </c>
      <c r="W36" s="39">
        <f t="shared" si="21"/>
        <v>1.5174506828528073E-3</v>
      </c>
      <c r="X36" s="39">
        <f t="shared" si="22"/>
        <v>0</v>
      </c>
      <c r="Y36" s="40">
        <f t="shared" si="23"/>
        <v>1.1560693641618498E-3</v>
      </c>
      <c r="Z36" s="31">
        <f t="shared" ref="Z36:Z50" si="29">M36/L36</f>
        <v>0</v>
      </c>
      <c r="AA36" s="2" t="str">
        <f>_xlfn.XLOOKUP(Table1[[#This Row],[No. of Principal Member]],Client_Segments!$A$2:$A$5,Client_Segments!$B$2:$B$5,,1)</f>
        <v>Hares</v>
      </c>
    </row>
    <row r="37" spans="1:27" s="2" customFormat="1" x14ac:dyDescent="0.2">
      <c r="A37" s="30">
        <v>36</v>
      </c>
      <c r="B37" s="30" t="s">
        <v>125</v>
      </c>
      <c r="C37" s="30" t="s">
        <v>17</v>
      </c>
      <c r="D37" s="30" t="s">
        <v>55</v>
      </c>
      <c r="E37" s="22">
        <v>1699519</v>
      </c>
      <c r="F37" s="22">
        <f t="shared" si="0"/>
        <v>84975.950000000012</v>
      </c>
      <c r="G37" s="22">
        <v>40000</v>
      </c>
      <c r="H37" s="22">
        <f t="shared" si="25"/>
        <v>1824494.95</v>
      </c>
      <c r="I37" s="22">
        <v>0</v>
      </c>
      <c r="J37" s="22">
        <f t="shared" si="26"/>
        <v>1824494.95</v>
      </c>
      <c r="K37" s="22">
        <f t="shared" si="27"/>
        <v>1824494.95</v>
      </c>
      <c r="L37" s="30">
        <v>1</v>
      </c>
      <c r="M37" s="30">
        <v>3</v>
      </c>
      <c r="N37" s="30">
        <f t="shared" si="28"/>
        <v>4</v>
      </c>
      <c r="O37" s="51">
        <v>45301</v>
      </c>
      <c r="P37" s="54">
        <f t="shared" si="8"/>
        <v>2024</v>
      </c>
      <c r="Q37" s="49">
        <f t="shared" si="9"/>
        <v>1</v>
      </c>
      <c r="R37" s="49">
        <f t="shared" si="10"/>
        <v>10</v>
      </c>
      <c r="S37" s="51">
        <v>45666</v>
      </c>
      <c r="T37" s="54">
        <f t="shared" si="11"/>
        <v>2025</v>
      </c>
      <c r="U37" s="49">
        <f t="shared" si="12"/>
        <v>1</v>
      </c>
      <c r="V37" s="49">
        <f t="shared" si="13"/>
        <v>9</v>
      </c>
      <c r="W37" s="39">
        <f t="shared" si="21"/>
        <v>5.0581689428426911E-4</v>
      </c>
      <c r="X37" s="39">
        <f t="shared" si="22"/>
        <v>3.2154340836012861E-3</v>
      </c>
      <c r="Y37" s="40">
        <f t="shared" si="23"/>
        <v>1.5414258188824663E-3</v>
      </c>
      <c r="Z37" s="31">
        <f t="shared" si="29"/>
        <v>3</v>
      </c>
      <c r="AA37" s="2" t="str">
        <f>_xlfn.XLOOKUP(Table1[[#This Row],[No. of Principal Member]],Client_Segments!$A$2:$A$5,Client_Segments!$B$2:$B$5,,1)</f>
        <v>Hares</v>
      </c>
    </row>
    <row r="38" spans="1:27" s="2" customFormat="1" x14ac:dyDescent="0.2">
      <c r="A38" s="30">
        <v>37</v>
      </c>
      <c r="B38" s="30" t="s">
        <v>126</v>
      </c>
      <c r="C38" s="30" t="s">
        <v>17</v>
      </c>
      <c r="D38" s="30" t="s">
        <v>55</v>
      </c>
      <c r="E38" s="22">
        <f>943648+3328599</f>
        <v>4272247</v>
      </c>
      <c r="F38" s="22">
        <f t="shared" si="0"/>
        <v>213612.35</v>
      </c>
      <c r="G38" s="22">
        <v>140000</v>
      </c>
      <c r="H38" s="22">
        <f t="shared" si="25"/>
        <v>4625859.3499999996</v>
      </c>
      <c r="I38" s="22">
        <v>0</v>
      </c>
      <c r="J38" s="22">
        <f t="shared" si="26"/>
        <v>4625859.3499999996</v>
      </c>
      <c r="K38" s="22">
        <f t="shared" si="27"/>
        <v>578232.41874999995</v>
      </c>
      <c r="L38" s="30">
        <v>8</v>
      </c>
      <c r="M38" s="30">
        <v>2</v>
      </c>
      <c r="N38" s="30">
        <f t="shared" si="28"/>
        <v>10</v>
      </c>
      <c r="O38" s="51">
        <v>45301</v>
      </c>
      <c r="P38" s="54">
        <f t="shared" si="8"/>
        <v>2024</v>
      </c>
      <c r="Q38" s="49">
        <f t="shared" si="9"/>
        <v>1</v>
      </c>
      <c r="R38" s="49">
        <f t="shared" si="10"/>
        <v>10</v>
      </c>
      <c r="S38" s="51">
        <v>45666</v>
      </c>
      <c r="T38" s="54">
        <f t="shared" si="11"/>
        <v>2025</v>
      </c>
      <c r="U38" s="49">
        <f t="shared" si="12"/>
        <v>1</v>
      </c>
      <c r="V38" s="49">
        <f t="shared" si="13"/>
        <v>9</v>
      </c>
      <c r="W38" s="39">
        <f t="shared" si="21"/>
        <v>4.0465351542741529E-3</v>
      </c>
      <c r="X38" s="39">
        <f t="shared" si="22"/>
        <v>2.1436227224008574E-3</v>
      </c>
      <c r="Y38" s="40">
        <f t="shared" si="23"/>
        <v>3.8535645472061657E-3</v>
      </c>
      <c r="Z38" s="31">
        <f t="shared" si="29"/>
        <v>0.25</v>
      </c>
      <c r="AA38" s="2" t="str">
        <f>_xlfn.XLOOKUP(Table1[[#This Row],[No. of Principal Member]],Client_Segments!$A$2:$A$5,Client_Segments!$B$2:$B$5,,1)</f>
        <v>Hares</v>
      </c>
    </row>
    <row r="39" spans="1:27" s="2" customFormat="1" x14ac:dyDescent="0.2">
      <c r="A39" s="32">
        <v>38</v>
      </c>
      <c r="B39" s="30" t="s">
        <v>127</v>
      </c>
      <c r="C39" s="30" t="s">
        <v>17</v>
      </c>
      <c r="D39" s="30" t="s">
        <v>55</v>
      </c>
      <c r="E39" s="22">
        <v>21256481</v>
      </c>
      <c r="F39" s="22">
        <f t="shared" si="0"/>
        <v>1062824.05</v>
      </c>
      <c r="G39" s="22">
        <v>590000</v>
      </c>
      <c r="H39" s="22">
        <f t="shared" si="25"/>
        <v>22909305.050000001</v>
      </c>
      <c r="I39" s="22">
        <v>0</v>
      </c>
      <c r="J39" s="22">
        <f t="shared" si="26"/>
        <v>22909305.050000001</v>
      </c>
      <c r="K39" s="22">
        <f t="shared" si="27"/>
        <v>1041332.0477272727</v>
      </c>
      <c r="L39" s="30">
        <v>22</v>
      </c>
      <c r="M39" s="30">
        <v>37</v>
      </c>
      <c r="N39" s="30">
        <f t="shared" si="28"/>
        <v>59</v>
      </c>
      <c r="O39" s="51">
        <v>45301</v>
      </c>
      <c r="P39" s="54">
        <f t="shared" si="8"/>
        <v>2024</v>
      </c>
      <c r="Q39" s="49">
        <f t="shared" si="9"/>
        <v>1</v>
      </c>
      <c r="R39" s="49">
        <f t="shared" si="10"/>
        <v>10</v>
      </c>
      <c r="S39" s="51">
        <v>45666</v>
      </c>
      <c r="T39" s="54">
        <f t="shared" si="11"/>
        <v>2025</v>
      </c>
      <c r="U39" s="49">
        <f t="shared" si="12"/>
        <v>1</v>
      </c>
      <c r="V39" s="49">
        <f t="shared" si="13"/>
        <v>9</v>
      </c>
      <c r="W39" s="39">
        <f t="shared" si="21"/>
        <v>1.112797167425392E-2</v>
      </c>
      <c r="X39" s="39">
        <f t="shared" si="22"/>
        <v>3.965702036441586E-2</v>
      </c>
      <c r="Y39" s="40">
        <f t="shared" si="23"/>
        <v>2.2736030828516378E-2</v>
      </c>
      <c r="Z39" s="31">
        <f t="shared" si="29"/>
        <v>1.6818181818181819</v>
      </c>
      <c r="AA39" s="2" t="str">
        <f>_xlfn.XLOOKUP(Table1[[#This Row],[No. of Principal Member]],Client_Segments!$A$2:$A$5,Client_Segments!$B$2:$B$5,,1)</f>
        <v>Hares</v>
      </c>
    </row>
    <row r="40" spans="1:27" s="2" customFormat="1" x14ac:dyDescent="0.2">
      <c r="A40" s="30">
        <v>39</v>
      </c>
      <c r="B40" s="30" t="s">
        <v>128</v>
      </c>
      <c r="C40" s="30" t="s">
        <v>17</v>
      </c>
      <c r="D40" s="30" t="s">
        <v>55</v>
      </c>
      <c r="E40" s="22">
        <v>2731792</v>
      </c>
      <c r="F40" s="22">
        <f t="shared" si="0"/>
        <v>136589.6</v>
      </c>
      <c r="G40" s="22">
        <v>50000</v>
      </c>
      <c r="H40" s="22">
        <f t="shared" si="25"/>
        <v>2918381.6</v>
      </c>
      <c r="I40" s="22">
        <v>0</v>
      </c>
      <c r="J40" s="22">
        <f t="shared" si="26"/>
        <v>2918381.6</v>
      </c>
      <c r="K40" s="22">
        <f t="shared" si="27"/>
        <v>2918381.6</v>
      </c>
      <c r="L40" s="30">
        <v>1</v>
      </c>
      <c r="M40" s="30">
        <v>4</v>
      </c>
      <c r="N40" s="30">
        <f t="shared" si="28"/>
        <v>5</v>
      </c>
      <c r="O40" s="51">
        <v>45304</v>
      </c>
      <c r="P40" s="54">
        <f t="shared" si="8"/>
        <v>2024</v>
      </c>
      <c r="Q40" s="49">
        <f t="shared" si="9"/>
        <v>1</v>
      </c>
      <c r="R40" s="49">
        <f t="shared" si="10"/>
        <v>13</v>
      </c>
      <c r="S40" s="51">
        <v>45669</v>
      </c>
      <c r="T40" s="54">
        <f t="shared" si="11"/>
        <v>2025</v>
      </c>
      <c r="U40" s="49">
        <f t="shared" si="12"/>
        <v>1</v>
      </c>
      <c r="V40" s="49">
        <f t="shared" si="13"/>
        <v>12</v>
      </c>
      <c r="W40" s="39">
        <f t="shared" si="21"/>
        <v>5.0581689428426911E-4</v>
      </c>
      <c r="X40" s="39">
        <f t="shared" si="22"/>
        <v>4.2872454448017148E-3</v>
      </c>
      <c r="Y40" s="40">
        <f t="shared" si="23"/>
        <v>1.9267822736030828E-3</v>
      </c>
      <c r="Z40" s="31">
        <f t="shared" si="29"/>
        <v>4</v>
      </c>
      <c r="AA40" s="2" t="str">
        <f>_xlfn.XLOOKUP(Table1[[#This Row],[No. of Principal Member]],Client_Segments!$A$2:$A$5,Client_Segments!$B$2:$B$5,,1)</f>
        <v>Hares</v>
      </c>
    </row>
    <row r="41" spans="1:27" s="2" customFormat="1" x14ac:dyDescent="0.2">
      <c r="A41" s="30">
        <v>40</v>
      </c>
      <c r="B41" s="30" t="s">
        <v>129</v>
      </c>
      <c r="C41" s="30" t="s">
        <v>17</v>
      </c>
      <c r="D41" s="30" t="s">
        <v>55</v>
      </c>
      <c r="E41" s="22">
        <v>457803</v>
      </c>
      <c r="F41" s="22">
        <f t="shared" si="0"/>
        <v>22890.15</v>
      </c>
      <c r="G41" s="22">
        <v>10000</v>
      </c>
      <c r="H41" s="22">
        <f t="shared" si="25"/>
        <v>490693.15</v>
      </c>
      <c r="I41" s="22">
        <v>0</v>
      </c>
      <c r="J41" s="22">
        <f t="shared" si="26"/>
        <v>490693.15</v>
      </c>
      <c r="K41" s="22">
        <f t="shared" si="27"/>
        <v>490693.15</v>
      </c>
      <c r="L41" s="30">
        <v>1</v>
      </c>
      <c r="M41" s="30">
        <v>0</v>
      </c>
      <c r="N41" s="30">
        <f t="shared" si="28"/>
        <v>1</v>
      </c>
      <c r="O41" s="51">
        <v>45316</v>
      </c>
      <c r="P41" s="54">
        <f t="shared" si="8"/>
        <v>2024</v>
      </c>
      <c r="Q41" s="49">
        <f t="shared" si="9"/>
        <v>1</v>
      </c>
      <c r="R41" s="49">
        <f t="shared" si="10"/>
        <v>25</v>
      </c>
      <c r="S41" s="51">
        <v>45681</v>
      </c>
      <c r="T41" s="54">
        <f t="shared" si="11"/>
        <v>2025</v>
      </c>
      <c r="U41" s="49">
        <f t="shared" si="12"/>
        <v>1</v>
      </c>
      <c r="V41" s="49">
        <f t="shared" si="13"/>
        <v>24</v>
      </c>
      <c r="W41" s="39">
        <f t="shared" si="21"/>
        <v>5.0581689428426911E-4</v>
      </c>
      <c r="X41" s="39">
        <f t="shared" si="22"/>
        <v>0</v>
      </c>
      <c r="Y41" s="40">
        <f t="shared" si="23"/>
        <v>3.8535645472061658E-4</v>
      </c>
      <c r="Z41" s="31">
        <f t="shared" si="29"/>
        <v>0</v>
      </c>
      <c r="AA41" s="2" t="str">
        <f>_xlfn.XLOOKUP(Table1[[#This Row],[No. of Principal Member]],Client_Segments!$A$2:$A$5,Client_Segments!$B$2:$B$5,,1)</f>
        <v>Hares</v>
      </c>
    </row>
    <row r="42" spans="1:27" s="2" customFormat="1" x14ac:dyDescent="0.2">
      <c r="A42" s="32">
        <v>41</v>
      </c>
      <c r="B42" s="30" t="s">
        <v>130</v>
      </c>
      <c r="C42" s="30" t="s">
        <v>17</v>
      </c>
      <c r="D42" s="30" t="s">
        <v>55</v>
      </c>
      <c r="E42" s="22">
        <v>2519484</v>
      </c>
      <c r="F42" s="22">
        <f t="shared" si="0"/>
        <v>125974.20000000001</v>
      </c>
      <c r="G42" s="22">
        <v>70000</v>
      </c>
      <c r="H42" s="22">
        <f t="shared" si="25"/>
        <v>2715458.2</v>
      </c>
      <c r="I42" s="22">
        <v>0</v>
      </c>
      <c r="J42" s="22">
        <f t="shared" si="26"/>
        <v>2715458.2</v>
      </c>
      <c r="K42" s="22">
        <f t="shared" si="27"/>
        <v>678864.55</v>
      </c>
      <c r="L42" s="30">
        <v>4</v>
      </c>
      <c r="M42" s="30">
        <v>3</v>
      </c>
      <c r="N42" s="30">
        <f t="shared" si="28"/>
        <v>7</v>
      </c>
      <c r="O42" s="51">
        <v>45292</v>
      </c>
      <c r="P42" s="54">
        <f t="shared" si="8"/>
        <v>2024</v>
      </c>
      <c r="Q42" s="49">
        <f t="shared" si="9"/>
        <v>1</v>
      </c>
      <c r="R42" s="49">
        <f t="shared" si="10"/>
        <v>1</v>
      </c>
      <c r="S42" s="51">
        <v>45657</v>
      </c>
      <c r="T42" s="54">
        <f t="shared" si="11"/>
        <v>2024</v>
      </c>
      <c r="U42" s="49">
        <f t="shared" si="12"/>
        <v>12</v>
      </c>
      <c r="V42" s="49">
        <f t="shared" si="13"/>
        <v>31</v>
      </c>
      <c r="W42" s="39">
        <f t="shared" si="21"/>
        <v>2.0232675771370764E-3</v>
      </c>
      <c r="X42" s="39">
        <f t="shared" si="22"/>
        <v>3.2154340836012861E-3</v>
      </c>
      <c r="Y42" s="40">
        <f t="shared" si="23"/>
        <v>2.6974951830443161E-3</v>
      </c>
      <c r="Z42" s="31">
        <f t="shared" si="29"/>
        <v>0.75</v>
      </c>
      <c r="AA42" s="2" t="str">
        <f>_xlfn.XLOOKUP(Table1[[#This Row],[No. of Principal Member]],Client_Segments!$A$2:$A$5,Client_Segments!$B$2:$B$5,,1)</f>
        <v>Hares</v>
      </c>
    </row>
    <row r="43" spans="1:27" s="2" customFormat="1" x14ac:dyDescent="0.2">
      <c r="A43" s="30">
        <v>42</v>
      </c>
      <c r="B43" s="30" t="s">
        <v>131</v>
      </c>
      <c r="C43" s="30" t="s">
        <v>17</v>
      </c>
      <c r="D43" s="30" t="s">
        <v>55</v>
      </c>
      <c r="E43" s="22">
        <v>582697</v>
      </c>
      <c r="F43" s="22">
        <f t="shared" si="0"/>
        <v>29134.850000000002</v>
      </c>
      <c r="G43" s="22">
        <v>10000</v>
      </c>
      <c r="H43" s="22">
        <f t="shared" si="25"/>
        <v>621831.85</v>
      </c>
      <c r="I43" s="22">
        <v>0</v>
      </c>
      <c r="J43" s="22">
        <f t="shared" si="26"/>
        <v>621831.85</v>
      </c>
      <c r="K43" s="22">
        <f t="shared" si="27"/>
        <v>621831.85</v>
      </c>
      <c r="L43" s="30">
        <v>1</v>
      </c>
      <c r="M43" s="30">
        <v>0</v>
      </c>
      <c r="N43" s="30">
        <f t="shared" si="28"/>
        <v>1</v>
      </c>
      <c r="O43" s="51">
        <v>45327</v>
      </c>
      <c r="P43" s="54">
        <f t="shared" si="8"/>
        <v>2024</v>
      </c>
      <c r="Q43" s="49">
        <f t="shared" si="9"/>
        <v>2</v>
      </c>
      <c r="R43" s="49">
        <f t="shared" si="10"/>
        <v>5</v>
      </c>
      <c r="S43" s="51">
        <v>45692</v>
      </c>
      <c r="T43" s="54">
        <f t="shared" si="11"/>
        <v>2025</v>
      </c>
      <c r="U43" s="49">
        <f t="shared" si="12"/>
        <v>2</v>
      </c>
      <c r="V43" s="49">
        <f t="shared" si="13"/>
        <v>4</v>
      </c>
      <c r="W43" s="39">
        <f t="shared" si="21"/>
        <v>5.0581689428426911E-4</v>
      </c>
      <c r="X43" s="39">
        <f t="shared" si="22"/>
        <v>0</v>
      </c>
      <c r="Y43" s="40">
        <f t="shared" si="23"/>
        <v>3.8535645472061658E-4</v>
      </c>
      <c r="Z43" s="31">
        <f t="shared" si="29"/>
        <v>0</v>
      </c>
      <c r="AA43" s="2" t="str">
        <f>_xlfn.XLOOKUP(Table1[[#This Row],[No. of Principal Member]],Client_Segments!$A$2:$A$5,Client_Segments!$B$2:$B$5,,1)</f>
        <v>Hares</v>
      </c>
    </row>
    <row r="44" spans="1:27" s="2" customFormat="1" x14ac:dyDescent="0.2">
      <c r="A44" s="30">
        <v>43</v>
      </c>
      <c r="B44" s="30" t="s">
        <v>132</v>
      </c>
      <c r="C44" s="30" t="s">
        <v>17</v>
      </c>
      <c r="D44" s="30" t="s">
        <v>55</v>
      </c>
      <c r="E44" s="22">
        <v>11388150</v>
      </c>
      <c r="F44" s="22">
        <f t="shared" si="0"/>
        <v>569407.5</v>
      </c>
      <c r="G44" s="22">
        <v>200000</v>
      </c>
      <c r="H44" s="22">
        <f t="shared" si="25"/>
        <v>12157557.5</v>
      </c>
      <c r="I44" s="22">
        <v>0</v>
      </c>
      <c r="J44" s="22">
        <f t="shared" si="26"/>
        <v>12157557.5</v>
      </c>
      <c r="K44" s="22">
        <f t="shared" si="27"/>
        <v>1350839.7222222222</v>
      </c>
      <c r="L44" s="30">
        <v>9</v>
      </c>
      <c r="M44" s="30">
        <v>11</v>
      </c>
      <c r="N44" s="30">
        <f t="shared" si="28"/>
        <v>20</v>
      </c>
      <c r="O44" s="51">
        <v>45328</v>
      </c>
      <c r="P44" s="54">
        <f t="shared" si="8"/>
        <v>2024</v>
      </c>
      <c r="Q44" s="49">
        <f t="shared" si="9"/>
        <v>2</v>
      </c>
      <c r="R44" s="49">
        <f t="shared" si="10"/>
        <v>6</v>
      </c>
      <c r="S44" s="51">
        <v>45693</v>
      </c>
      <c r="T44" s="54">
        <f t="shared" si="11"/>
        <v>2025</v>
      </c>
      <c r="U44" s="49">
        <f t="shared" si="12"/>
        <v>2</v>
      </c>
      <c r="V44" s="49">
        <f t="shared" si="13"/>
        <v>5</v>
      </c>
      <c r="W44" s="39">
        <f t="shared" si="21"/>
        <v>4.552352048558422E-3</v>
      </c>
      <c r="X44" s="39">
        <f t="shared" si="22"/>
        <v>1.1789924973204717E-2</v>
      </c>
      <c r="Y44" s="40">
        <f t="shared" si="23"/>
        <v>7.7071290944123313E-3</v>
      </c>
      <c r="Z44" s="31">
        <f t="shared" si="29"/>
        <v>1.2222222222222223</v>
      </c>
      <c r="AA44" s="2" t="str">
        <f>_xlfn.XLOOKUP(Table1[[#This Row],[No. of Principal Member]],Client_Segments!$A$2:$A$5,Client_Segments!$B$2:$B$5,,1)</f>
        <v>Hares</v>
      </c>
    </row>
    <row r="45" spans="1:27" s="2" customFormat="1" x14ac:dyDescent="0.2">
      <c r="A45" s="32">
        <v>44</v>
      </c>
      <c r="B45" s="30" t="s">
        <v>133</v>
      </c>
      <c r="C45" s="30" t="s">
        <v>17</v>
      </c>
      <c r="D45" s="30" t="s">
        <v>55</v>
      </c>
      <c r="E45" s="22">
        <v>2920457</v>
      </c>
      <c r="F45" s="22">
        <f t="shared" si="0"/>
        <v>146022.85</v>
      </c>
      <c r="G45" s="22">
        <v>60000</v>
      </c>
      <c r="H45" s="22">
        <f t="shared" si="25"/>
        <v>3126479.85</v>
      </c>
      <c r="I45" s="22">
        <v>0</v>
      </c>
      <c r="J45" s="22">
        <f t="shared" si="26"/>
        <v>3126479.85</v>
      </c>
      <c r="K45" s="22">
        <f t="shared" si="27"/>
        <v>521079.97500000003</v>
      </c>
      <c r="L45" s="30">
        <v>6</v>
      </c>
      <c r="M45" s="30">
        <v>0</v>
      </c>
      <c r="N45" s="30">
        <f t="shared" si="28"/>
        <v>6</v>
      </c>
      <c r="O45" s="51">
        <v>45331</v>
      </c>
      <c r="P45" s="54">
        <f t="shared" si="8"/>
        <v>2024</v>
      </c>
      <c r="Q45" s="49">
        <f t="shared" si="9"/>
        <v>2</v>
      </c>
      <c r="R45" s="49">
        <f t="shared" si="10"/>
        <v>9</v>
      </c>
      <c r="S45" s="51">
        <v>45696</v>
      </c>
      <c r="T45" s="54">
        <f t="shared" si="11"/>
        <v>2025</v>
      </c>
      <c r="U45" s="49">
        <f t="shared" si="12"/>
        <v>2</v>
      </c>
      <c r="V45" s="49">
        <f t="shared" si="13"/>
        <v>8</v>
      </c>
      <c r="W45" s="39">
        <f t="shared" si="21"/>
        <v>3.0349013657056147E-3</v>
      </c>
      <c r="X45" s="39">
        <f t="shared" si="22"/>
        <v>0</v>
      </c>
      <c r="Y45" s="40">
        <f t="shared" si="23"/>
        <v>2.3121387283236996E-3</v>
      </c>
      <c r="Z45" s="31">
        <f t="shared" si="29"/>
        <v>0</v>
      </c>
      <c r="AA45" s="2" t="str">
        <f>_xlfn.XLOOKUP(Table1[[#This Row],[No. of Principal Member]],Client_Segments!$A$2:$A$5,Client_Segments!$B$2:$B$5,,1)</f>
        <v>Hares</v>
      </c>
    </row>
    <row r="46" spans="1:27" s="2" customFormat="1" x14ac:dyDescent="0.2">
      <c r="A46" s="30">
        <v>45</v>
      </c>
      <c r="B46" s="30" t="s">
        <v>134</v>
      </c>
      <c r="C46" s="30" t="s">
        <v>18</v>
      </c>
      <c r="D46" s="30" t="s">
        <v>55</v>
      </c>
      <c r="E46" s="22">
        <f>2713988+6580490</f>
        <v>9294478</v>
      </c>
      <c r="F46" s="22">
        <f t="shared" si="0"/>
        <v>464723.9</v>
      </c>
      <c r="G46" s="22">
        <f>260000+600000</f>
        <v>860000</v>
      </c>
      <c r="H46" s="22">
        <f t="shared" si="25"/>
        <v>10619201.9</v>
      </c>
      <c r="I46" s="22">
        <f>4613600+5416000</f>
        <v>10029600</v>
      </c>
      <c r="J46" s="22">
        <f t="shared" si="26"/>
        <v>20648801.899999999</v>
      </c>
      <c r="K46" s="22">
        <f t="shared" si="27"/>
        <v>135847.38092105262</v>
      </c>
      <c r="L46" s="30">
        <f>32+120</f>
        <v>152</v>
      </c>
      <c r="M46" s="30">
        <v>0</v>
      </c>
      <c r="N46" s="30">
        <f t="shared" si="28"/>
        <v>152</v>
      </c>
      <c r="O46" s="51">
        <v>45331</v>
      </c>
      <c r="P46" s="54">
        <f t="shared" si="8"/>
        <v>2024</v>
      </c>
      <c r="Q46" s="49">
        <f t="shared" si="9"/>
        <v>2</v>
      </c>
      <c r="R46" s="49">
        <f t="shared" si="10"/>
        <v>9</v>
      </c>
      <c r="S46" s="51">
        <v>45696</v>
      </c>
      <c r="T46" s="54">
        <f t="shared" si="11"/>
        <v>2025</v>
      </c>
      <c r="U46" s="49">
        <f t="shared" si="12"/>
        <v>2</v>
      </c>
      <c r="V46" s="49">
        <f t="shared" si="13"/>
        <v>8</v>
      </c>
      <c r="W46" s="39">
        <f t="shared" si="21"/>
        <v>7.6884167931208905E-2</v>
      </c>
      <c r="X46" s="39">
        <f t="shared" si="22"/>
        <v>0</v>
      </c>
      <c r="Y46" s="40">
        <f t="shared" si="23"/>
        <v>5.8574181117533722E-2</v>
      </c>
      <c r="Z46" s="31">
        <f t="shared" si="29"/>
        <v>0</v>
      </c>
      <c r="AA46" s="2" t="str">
        <f>_xlfn.XLOOKUP(Table1[[#This Row],[No. of Principal Member]],Client_Segments!$A$2:$A$5,Client_Segments!$B$2:$B$5,,1)</f>
        <v>Elephants</v>
      </c>
    </row>
    <row r="47" spans="1:27" s="2" customFormat="1" x14ac:dyDescent="0.2">
      <c r="A47" s="30">
        <v>46</v>
      </c>
      <c r="B47" s="30" t="s">
        <v>7</v>
      </c>
      <c r="C47" s="30" t="s">
        <v>135</v>
      </c>
      <c r="D47" s="30" t="s">
        <v>55</v>
      </c>
      <c r="E47" s="22">
        <v>25054849</v>
      </c>
      <c r="F47" s="22">
        <f t="shared" si="0"/>
        <v>1252742.45</v>
      </c>
      <c r="G47" s="22">
        <v>335000</v>
      </c>
      <c r="H47" s="22">
        <f t="shared" si="25"/>
        <v>26642591.449999999</v>
      </c>
      <c r="I47" s="22">
        <v>0</v>
      </c>
      <c r="J47" s="22">
        <f t="shared" si="26"/>
        <v>26642591.449999999</v>
      </c>
      <c r="K47" s="22">
        <f t="shared" si="27"/>
        <v>832580.98281249998</v>
      </c>
      <c r="L47" s="30">
        <v>32</v>
      </c>
      <c r="M47" s="30">
        <f>67-32</f>
        <v>35</v>
      </c>
      <c r="N47" s="30">
        <f t="shared" si="28"/>
        <v>67</v>
      </c>
      <c r="O47" s="51">
        <v>45336</v>
      </c>
      <c r="P47" s="54">
        <f t="shared" si="8"/>
        <v>2024</v>
      </c>
      <c r="Q47" s="49">
        <f t="shared" si="9"/>
        <v>2</v>
      </c>
      <c r="R47" s="49">
        <f t="shared" si="10"/>
        <v>14</v>
      </c>
      <c r="S47" s="51">
        <v>45701</v>
      </c>
      <c r="T47" s="54">
        <f t="shared" si="11"/>
        <v>2025</v>
      </c>
      <c r="U47" s="49">
        <f t="shared" si="12"/>
        <v>2</v>
      </c>
      <c r="V47" s="49">
        <f t="shared" si="13"/>
        <v>13</v>
      </c>
      <c r="W47" s="39">
        <f t="shared" si="21"/>
        <v>1.6186140617096612E-2</v>
      </c>
      <c r="X47" s="39">
        <f t="shared" si="22"/>
        <v>3.7513397642015008E-2</v>
      </c>
      <c r="Y47" s="40">
        <f t="shared" si="23"/>
        <v>2.581888246628131E-2</v>
      </c>
      <c r="Z47" s="31">
        <f t="shared" si="29"/>
        <v>1.09375</v>
      </c>
      <c r="AA47" s="2" t="str">
        <f>_xlfn.XLOOKUP(Table1[[#This Row],[No. of Principal Member]],Client_Segments!$A$2:$A$5,Client_Segments!$B$2:$B$5,,1)</f>
        <v>Tigers</v>
      </c>
    </row>
    <row r="48" spans="1:27" s="2" customFormat="1" x14ac:dyDescent="0.2">
      <c r="A48" s="32">
        <v>47</v>
      </c>
      <c r="B48" s="30" t="s">
        <v>136</v>
      </c>
      <c r="C48" s="30" t="s">
        <v>17</v>
      </c>
      <c r="D48" s="30" t="s">
        <v>55</v>
      </c>
      <c r="E48" s="22">
        <v>22693363</v>
      </c>
      <c r="F48" s="22">
        <f t="shared" si="0"/>
        <v>1134668.1500000001</v>
      </c>
      <c r="G48" s="22">
        <v>720000</v>
      </c>
      <c r="H48" s="22">
        <f t="shared" si="25"/>
        <v>24548031.149999999</v>
      </c>
      <c r="I48" s="22">
        <v>0</v>
      </c>
      <c r="J48" s="22">
        <f t="shared" si="26"/>
        <v>24548031.149999999</v>
      </c>
      <c r="K48" s="22">
        <f t="shared" si="27"/>
        <v>454593.16944444441</v>
      </c>
      <c r="L48" s="30">
        <v>54</v>
      </c>
      <c r="M48" s="30">
        <f>72-54</f>
        <v>18</v>
      </c>
      <c r="N48" s="30">
        <f t="shared" si="28"/>
        <v>72</v>
      </c>
      <c r="O48" s="51">
        <v>45344</v>
      </c>
      <c r="P48" s="54">
        <f t="shared" si="8"/>
        <v>2024</v>
      </c>
      <c r="Q48" s="49">
        <f t="shared" si="9"/>
        <v>2</v>
      </c>
      <c r="R48" s="49">
        <f t="shared" si="10"/>
        <v>22</v>
      </c>
      <c r="S48" s="51">
        <v>45709</v>
      </c>
      <c r="T48" s="54">
        <f t="shared" si="11"/>
        <v>2025</v>
      </c>
      <c r="U48" s="49">
        <f t="shared" si="12"/>
        <v>2</v>
      </c>
      <c r="V48" s="49">
        <f t="shared" si="13"/>
        <v>21</v>
      </c>
      <c r="W48" s="39">
        <f t="shared" si="21"/>
        <v>2.7314112291350532E-2</v>
      </c>
      <c r="X48" s="39">
        <f t="shared" si="22"/>
        <v>1.9292604501607719E-2</v>
      </c>
      <c r="Y48" s="40">
        <f t="shared" si="23"/>
        <v>2.7745664739884393E-2</v>
      </c>
      <c r="Z48" s="31">
        <f t="shared" si="29"/>
        <v>0.33333333333333331</v>
      </c>
      <c r="AA48" s="2" t="str">
        <f>_xlfn.XLOOKUP(Table1[[#This Row],[No. of Principal Member]],Client_Segments!$A$2:$A$5,Client_Segments!$B$2:$B$5,,1)</f>
        <v>Tigers</v>
      </c>
    </row>
    <row r="49" spans="1:27" s="2" customFormat="1" x14ac:dyDescent="0.2">
      <c r="A49" s="30">
        <v>48</v>
      </c>
      <c r="B49" s="30" t="s">
        <v>137</v>
      </c>
      <c r="C49" s="30" t="s">
        <v>17</v>
      </c>
      <c r="D49" s="30" t="s">
        <v>55</v>
      </c>
      <c r="E49" s="22">
        <v>673775</v>
      </c>
      <c r="F49" s="22">
        <f t="shared" si="0"/>
        <v>33688.75</v>
      </c>
      <c r="G49" s="22">
        <v>10000</v>
      </c>
      <c r="H49" s="22">
        <f t="shared" si="25"/>
        <v>717463.75</v>
      </c>
      <c r="I49" s="22">
        <v>0</v>
      </c>
      <c r="J49" s="22">
        <f t="shared" si="26"/>
        <v>717463.75</v>
      </c>
      <c r="K49" s="22">
        <f t="shared" si="27"/>
        <v>717463.75</v>
      </c>
      <c r="L49" s="30">
        <v>1</v>
      </c>
      <c r="M49" s="30">
        <v>0</v>
      </c>
      <c r="N49" s="30">
        <f t="shared" si="28"/>
        <v>1</v>
      </c>
      <c r="O49" s="51">
        <v>45337</v>
      </c>
      <c r="P49" s="54">
        <f t="shared" si="8"/>
        <v>2024</v>
      </c>
      <c r="Q49" s="49">
        <f t="shared" si="9"/>
        <v>2</v>
      </c>
      <c r="R49" s="49">
        <f t="shared" si="10"/>
        <v>15</v>
      </c>
      <c r="S49" s="51">
        <v>45336</v>
      </c>
      <c r="T49" s="54">
        <f t="shared" si="11"/>
        <v>2024</v>
      </c>
      <c r="U49" s="49">
        <f t="shared" si="12"/>
        <v>2</v>
      </c>
      <c r="V49" s="49">
        <f t="shared" si="13"/>
        <v>14</v>
      </c>
      <c r="W49" s="39">
        <f t="shared" si="21"/>
        <v>5.0581689428426911E-4</v>
      </c>
      <c r="X49" s="39">
        <f t="shared" si="22"/>
        <v>0</v>
      </c>
      <c r="Y49" s="40">
        <f t="shared" si="23"/>
        <v>3.8535645472061658E-4</v>
      </c>
      <c r="Z49" s="31">
        <f t="shared" si="29"/>
        <v>0</v>
      </c>
      <c r="AA49" s="2" t="str">
        <f>_xlfn.XLOOKUP(Table1[[#This Row],[No. of Principal Member]],Client_Segments!$A$2:$A$5,Client_Segments!$B$2:$B$5,,1)</f>
        <v>Hares</v>
      </c>
    </row>
    <row r="50" spans="1:27" s="2" customFormat="1" x14ac:dyDescent="0.2">
      <c r="A50" s="30">
        <v>49</v>
      </c>
      <c r="B50" s="32" t="s">
        <v>138</v>
      </c>
      <c r="C50" s="32" t="s">
        <v>17</v>
      </c>
      <c r="D50" s="30" t="s">
        <v>55</v>
      </c>
      <c r="E50" s="22">
        <f>1039872+1855441</f>
        <v>2895313</v>
      </c>
      <c r="F50" s="22">
        <f t="shared" si="0"/>
        <v>144765.65</v>
      </c>
      <c r="G50" s="22">
        <v>60000</v>
      </c>
      <c r="H50" s="53">
        <f t="shared" si="25"/>
        <v>3100078.65</v>
      </c>
      <c r="I50" s="22"/>
      <c r="J50" s="53">
        <f t="shared" si="26"/>
        <v>3100078.65</v>
      </c>
      <c r="K50" s="53">
        <f t="shared" si="27"/>
        <v>516679.77499999997</v>
      </c>
      <c r="L50" s="30">
        <v>6</v>
      </c>
      <c r="M50" s="30">
        <v>0</v>
      </c>
      <c r="N50" s="30">
        <f t="shared" si="28"/>
        <v>6</v>
      </c>
      <c r="O50" s="51">
        <v>45350</v>
      </c>
      <c r="P50" s="54">
        <f t="shared" si="8"/>
        <v>2024</v>
      </c>
      <c r="Q50" s="49">
        <f t="shared" si="9"/>
        <v>2</v>
      </c>
      <c r="R50" s="49">
        <f t="shared" si="10"/>
        <v>28</v>
      </c>
      <c r="S50" s="51">
        <v>45349</v>
      </c>
      <c r="T50" s="54">
        <f t="shared" si="11"/>
        <v>2024</v>
      </c>
      <c r="U50" s="49">
        <f t="shared" si="12"/>
        <v>2</v>
      </c>
      <c r="V50" s="49">
        <f t="shared" si="13"/>
        <v>27</v>
      </c>
      <c r="W50" s="39">
        <f t="shared" si="21"/>
        <v>3.0349013657056147E-3</v>
      </c>
      <c r="X50" s="39">
        <f t="shared" si="22"/>
        <v>0</v>
      </c>
      <c r="Y50" s="40">
        <f t="shared" si="23"/>
        <v>2.3121387283236996E-3</v>
      </c>
      <c r="Z50" s="33">
        <f t="shared" si="29"/>
        <v>0</v>
      </c>
      <c r="AA50" s="2" t="str">
        <f>_xlfn.XLOOKUP(Table1[[#This Row],[No. of Principal Member]],Client_Segments!$A$2:$A$5,Client_Segments!$B$2:$B$5,,1)</f>
        <v>Hares</v>
      </c>
    </row>
    <row r="51" spans="1:27" s="2" customFormat="1" x14ac:dyDescent="0.2">
      <c r="E51" s="45"/>
      <c r="F51" s="45"/>
      <c r="G51" s="45"/>
      <c r="H51" s="45"/>
      <c r="I51" s="45"/>
      <c r="J51" s="45"/>
      <c r="K51" s="45"/>
      <c r="O51" s="52"/>
      <c r="P51" s="52"/>
      <c r="Q51" s="52"/>
      <c r="R51" s="52"/>
      <c r="S51" s="52"/>
      <c r="T51" s="52"/>
      <c r="U51" s="52"/>
      <c r="V51" s="52"/>
      <c r="W51" s="46"/>
      <c r="X51" s="46"/>
      <c r="Y51" s="47"/>
      <c r="Z51" s="6"/>
    </row>
    <row r="52" spans="1:27" s="2" customFormat="1" x14ac:dyDescent="0.2">
      <c r="E52" s="45"/>
      <c r="F52" s="45"/>
      <c r="G52" s="45"/>
      <c r="H52" s="45"/>
      <c r="I52" s="45"/>
      <c r="J52" s="45"/>
      <c r="K52" s="45"/>
      <c r="O52" s="52"/>
      <c r="P52" s="52"/>
      <c r="Q52" s="52"/>
      <c r="R52" s="52"/>
      <c r="S52" s="52"/>
      <c r="T52" s="52"/>
      <c r="U52" s="52"/>
      <c r="V52" s="52"/>
      <c r="W52" s="46"/>
      <c r="X52" s="46"/>
      <c r="Y52" s="47"/>
      <c r="Z52" s="6"/>
    </row>
    <row r="53" spans="1:27" s="2" customFormat="1" x14ac:dyDescent="0.2">
      <c r="E53" s="45"/>
      <c r="F53" s="45"/>
      <c r="G53" s="45"/>
      <c r="H53" s="45"/>
      <c r="I53" s="45"/>
      <c r="J53" s="45"/>
      <c r="K53" s="45"/>
      <c r="O53" s="52"/>
      <c r="P53" s="52"/>
      <c r="Q53" s="52"/>
      <c r="R53" s="52"/>
      <c r="S53" s="52"/>
      <c r="T53" s="52"/>
      <c r="U53" s="52"/>
      <c r="V53" s="52"/>
      <c r="W53" s="46"/>
      <c r="X53" s="46"/>
      <c r="Y53" s="47"/>
      <c r="Z53" s="6"/>
    </row>
    <row r="54" spans="1:27" s="2" customFormat="1" x14ac:dyDescent="0.2">
      <c r="E54" s="45"/>
      <c r="F54" s="45"/>
      <c r="G54" s="45"/>
      <c r="H54" s="45"/>
      <c r="I54" s="45"/>
      <c r="J54" s="45"/>
      <c r="K54" s="45"/>
      <c r="O54" s="52"/>
      <c r="P54" s="52"/>
      <c r="Q54" s="52"/>
      <c r="R54" s="52"/>
      <c r="S54" s="52"/>
      <c r="T54" s="52"/>
      <c r="U54" s="52"/>
      <c r="V54" s="52"/>
      <c r="W54" s="46"/>
      <c r="X54" s="46"/>
      <c r="Y54" s="47"/>
      <c r="Z54" s="6"/>
    </row>
    <row r="55" spans="1:27" s="2" customFormat="1" x14ac:dyDescent="0.2">
      <c r="E55" s="45"/>
      <c r="F55" s="45"/>
      <c r="G55" s="45"/>
      <c r="H55" s="45"/>
      <c r="I55" s="45"/>
      <c r="J55" s="45"/>
      <c r="K55" s="45"/>
      <c r="O55" s="52"/>
      <c r="P55" s="52"/>
      <c r="Q55" s="52"/>
      <c r="R55" s="52"/>
      <c r="S55" s="52"/>
      <c r="T55" s="52"/>
      <c r="U55" s="52"/>
      <c r="V55" s="52"/>
      <c r="W55" s="46"/>
      <c r="X55" s="46"/>
      <c r="Y55" s="47"/>
      <c r="Z55" s="6"/>
    </row>
    <row r="56" spans="1:27" s="2" customFormat="1" x14ac:dyDescent="0.2">
      <c r="E56" s="45"/>
      <c r="F56" s="45"/>
      <c r="G56" s="45"/>
      <c r="H56" s="45"/>
      <c r="I56" s="45"/>
      <c r="J56" s="45"/>
      <c r="K56" s="45"/>
      <c r="O56" s="52"/>
      <c r="P56" s="52"/>
      <c r="Q56" s="52"/>
      <c r="R56" s="52"/>
      <c r="S56" s="52"/>
      <c r="T56" s="52"/>
      <c r="U56" s="52"/>
      <c r="V56" s="52"/>
      <c r="W56" s="46"/>
      <c r="X56" s="46"/>
      <c r="Y56" s="47"/>
      <c r="Z56" s="6"/>
    </row>
    <row r="57" spans="1:27" s="2" customFormat="1" x14ac:dyDescent="0.2">
      <c r="E57" s="45"/>
      <c r="F57" s="45"/>
      <c r="G57" s="45"/>
      <c r="H57" s="45"/>
      <c r="I57" s="45"/>
      <c r="J57" s="45"/>
      <c r="K57" s="45"/>
      <c r="O57" s="52"/>
      <c r="P57" s="52"/>
      <c r="Q57" s="52"/>
      <c r="R57" s="52"/>
      <c r="S57" s="52"/>
      <c r="T57" s="52"/>
      <c r="U57" s="52"/>
      <c r="V57" s="52"/>
      <c r="W57" s="46"/>
      <c r="X57" s="46"/>
      <c r="Y57" s="47"/>
      <c r="Z57" s="6"/>
    </row>
    <row r="58" spans="1:27" s="2" customFormat="1" x14ac:dyDescent="0.2">
      <c r="E58" s="45"/>
      <c r="F58" s="45"/>
      <c r="G58" s="45"/>
      <c r="H58" s="45"/>
      <c r="I58" s="45"/>
      <c r="J58" s="45"/>
      <c r="K58" s="45"/>
      <c r="O58" s="52"/>
      <c r="P58" s="52"/>
      <c r="Q58" s="52"/>
      <c r="R58" s="52"/>
      <c r="S58" s="52"/>
      <c r="T58" s="52"/>
      <c r="U58" s="52"/>
      <c r="V58" s="52"/>
      <c r="W58" s="46"/>
      <c r="X58" s="46"/>
      <c r="Y58" s="47"/>
      <c r="Z58" s="6"/>
    </row>
    <row r="59" spans="1:27" s="2" customFormat="1" x14ac:dyDescent="0.2">
      <c r="E59" s="45"/>
      <c r="F59" s="45"/>
      <c r="G59" s="45"/>
      <c r="H59" s="45"/>
      <c r="I59" s="45"/>
      <c r="J59" s="45"/>
      <c r="K59" s="45"/>
      <c r="O59" s="52"/>
      <c r="P59" s="52"/>
      <c r="Q59" s="52"/>
      <c r="R59" s="52"/>
      <c r="S59" s="52"/>
      <c r="T59" s="52"/>
      <c r="U59" s="52"/>
      <c r="V59" s="52"/>
      <c r="W59" s="46"/>
      <c r="X59" s="46"/>
      <c r="Y59" s="47"/>
      <c r="Z59" s="6"/>
    </row>
    <row r="60" spans="1:27" s="2" customFormat="1" x14ac:dyDescent="0.2">
      <c r="E60" s="45"/>
      <c r="F60" s="45"/>
      <c r="G60" s="45"/>
      <c r="H60" s="45"/>
      <c r="I60" s="45"/>
      <c r="J60" s="45"/>
      <c r="K60" s="45"/>
      <c r="O60" s="52"/>
      <c r="P60" s="52"/>
      <c r="Q60" s="52"/>
      <c r="R60" s="52"/>
      <c r="S60" s="52"/>
      <c r="T60" s="52"/>
      <c r="U60" s="52"/>
      <c r="V60" s="52"/>
      <c r="W60" s="46"/>
      <c r="X60" s="46"/>
      <c r="Y60" s="47"/>
      <c r="Z60" s="6"/>
    </row>
    <row r="61" spans="1:27" s="2" customFormat="1" x14ac:dyDescent="0.2">
      <c r="E61" s="45"/>
      <c r="F61" s="45"/>
      <c r="G61" s="45"/>
      <c r="H61" s="45"/>
      <c r="I61" s="45"/>
      <c r="J61" s="45"/>
      <c r="K61" s="45"/>
      <c r="O61" s="52"/>
      <c r="P61" s="52"/>
      <c r="Q61" s="52"/>
      <c r="R61" s="52"/>
      <c r="S61" s="52"/>
      <c r="T61" s="52"/>
      <c r="U61" s="52"/>
      <c r="V61" s="52"/>
      <c r="W61" s="46"/>
      <c r="X61" s="46"/>
      <c r="Y61" s="47"/>
      <c r="Z61" s="6"/>
    </row>
    <row r="62" spans="1:27" s="2" customFormat="1" x14ac:dyDescent="0.2">
      <c r="E62" s="45"/>
      <c r="F62" s="45"/>
      <c r="G62" s="45"/>
      <c r="H62" s="45"/>
      <c r="I62" s="45"/>
      <c r="J62" s="45"/>
      <c r="K62" s="45"/>
      <c r="O62" s="19"/>
      <c r="P62" s="19"/>
      <c r="Q62" s="19"/>
      <c r="R62" s="19"/>
      <c r="S62" s="19"/>
      <c r="T62" s="19"/>
      <c r="U62" s="19"/>
      <c r="V62" s="19"/>
      <c r="W62" s="46"/>
      <c r="X62" s="46"/>
      <c r="Y62" s="47"/>
      <c r="Z62" s="6"/>
    </row>
    <row r="63" spans="1:27" s="2" customFormat="1" x14ac:dyDescent="0.2">
      <c r="E63" s="45"/>
      <c r="F63" s="45"/>
      <c r="G63" s="45"/>
      <c r="H63" s="45"/>
      <c r="I63" s="45"/>
      <c r="J63" s="45"/>
      <c r="K63" s="45"/>
      <c r="O63" s="19"/>
      <c r="P63" s="19"/>
      <c r="Q63" s="19"/>
      <c r="R63" s="19"/>
      <c r="S63" s="19"/>
      <c r="T63" s="19"/>
      <c r="U63" s="19"/>
      <c r="V63" s="19"/>
      <c r="W63" s="46"/>
      <c r="X63" s="46"/>
      <c r="Y63" s="47"/>
      <c r="Z63" s="6"/>
    </row>
    <row r="64" spans="1:27" s="2" customFormat="1" x14ac:dyDescent="0.2">
      <c r="E64" s="45"/>
      <c r="F64" s="45"/>
      <c r="G64" s="45"/>
      <c r="H64" s="45"/>
      <c r="I64" s="45"/>
      <c r="J64" s="45"/>
      <c r="K64" s="45"/>
      <c r="O64" s="19"/>
      <c r="P64" s="19"/>
      <c r="Q64" s="19"/>
      <c r="R64" s="19"/>
      <c r="S64" s="19"/>
      <c r="T64" s="19"/>
      <c r="U64" s="19"/>
      <c r="V64" s="19"/>
      <c r="W64" s="46"/>
      <c r="X64" s="46"/>
      <c r="Y64" s="47"/>
      <c r="Z64" s="6"/>
    </row>
    <row r="65" spans="4:26" s="2" customFormat="1" x14ac:dyDescent="0.2">
      <c r="E65" s="45"/>
      <c r="F65" s="45"/>
      <c r="G65" s="45"/>
      <c r="H65" s="45"/>
      <c r="I65" s="45"/>
      <c r="J65" s="45"/>
      <c r="K65" s="45"/>
      <c r="O65" s="19"/>
      <c r="P65" s="19"/>
      <c r="Q65" s="19"/>
      <c r="R65" s="19"/>
      <c r="S65" s="19"/>
      <c r="T65" s="19"/>
      <c r="U65" s="19"/>
      <c r="V65" s="19"/>
      <c r="W65" s="46"/>
      <c r="X65" s="46"/>
      <c r="Y65" s="47"/>
      <c r="Z65" s="6"/>
    </row>
    <row r="66" spans="4:26" s="2" customFormat="1" x14ac:dyDescent="0.2">
      <c r="E66" s="45"/>
      <c r="F66" s="45"/>
      <c r="G66" s="45"/>
      <c r="H66" s="45"/>
      <c r="I66" s="45"/>
      <c r="J66" s="45"/>
      <c r="K66" s="45"/>
      <c r="O66" s="19"/>
      <c r="P66" s="19"/>
      <c r="Q66" s="19"/>
      <c r="R66" s="19"/>
      <c r="S66" s="19"/>
      <c r="T66" s="19"/>
      <c r="U66" s="19"/>
      <c r="V66" s="19"/>
      <c r="W66" s="46"/>
      <c r="X66" s="46"/>
      <c r="Y66" s="47"/>
      <c r="Z66" s="6"/>
    </row>
    <row r="67" spans="4:26" s="2" customFormat="1" x14ac:dyDescent="0.2">
      <c r="E67" s="45"/>
      <c r="F67" s="45"/>
      <c r="G67" s="45"/>
      <c r="H67" s="45"/>
      <c r="I67" s="45"/>
      <c r="J67" s="45"/>
      <c r="K67" s="45"/>
      <c r="O67" s="19"/>
      <c r="P67" s="19"/>
      <c r="Q67" s="19"/>
      <c r="R67" s="19"/>
      <c r="S67" s="19"/>
      <c r="T67" s="19"/>
      <c r="U67" s="19"/>
      <c r="V67" s="19"/>
      <c r="W67" s="46"/>
      <c r="X67" s="46"/>
      <c r="Y67" s="47"/>
      <c r="Z67" s="6"/>
    </row>
    <row r="68" spans="4:26" s="2" customFormat="1" x14ac:dyDescent="0.2">
      <c r="E68" s="45"/>
      <c r="F68" s="45"/>
      <c r="G68" s="45"/>
      <c r="H68" s="45"/>
      <c r="I68" s="45"/>
      <c r="J68" s="45"/>
      <c r="K68" s="45"/>
      <c r="O68" s="19"/>
      <c r="P68" s="19"/>
      <c r="Q68" s="19"/>
      <c r="R68" s="19"/>
      <c r="S68" s="19"/>
      <c r="T68" s="19"/>
      <c r="U68" s="19"/>
      <c r="V68" s="19"/>
      <c r="W68" s="46"/>
      <c r="X68" s="46"/>
      <c r="Y68" s="47"/>
      <c r="Z68" s="6"/>
    </row>
    <row r="69" spans="4:26" s="2" customFormat="1" x14ac:dyDescent="0.2">
      <c r="E69" s="45"/>
      <c r="F69" s="45"/>
      <c r="G69" s="45"/>
      <c r="H69" s="45"/>
      <c r="I69" s="45"/>
      <c r="J69" s="45"/>
      <c r="K69" s="45"/>
      <c r="O69" s="19"/>
      <c r="P69" s="19"/>
      <c r="Q69" s="19"/>
      <c r="R69" s="19"/>
      <c r="S69" s="19"/>
      <c r="T69" s="19"/>
      <c r="U69" s="19"/>
      <c r="V69" s="19"/>
      <c r="W69" s="46"/>
      <c r="X69" s="46"/>
      <c r="Y69" s="47"/>
      <c r="Z69" s="6"/>
    </row>
    <row r="70" spans="4:26" s="2" customFormat="1" x14ac:dyDescent="0.2">
      <c r="E70" s="18"/>
      <c r="F70" s="18"/>
      <c r="G70" s="18"/>
      <c r="H70" s="18"/>
      <c r="I70" s="18"/>
      <c r="J70" s="18"/>
      <c r="K70" s="18"/>
      <c r="O70" s="19"/>
      <c r="P70" s="19"/>
      <c r="Q70" s="19"/>
      <c r="R70" s="19"/>
      <c r="S70" s="19"/>
      <c r="T70" s="19"/>
      <c r="U70" s="19"/>
      <c r="V70" s="19"/>
      <c r="W70" s="15"/>
      <c r="X70" s="15"/>
      <c r="Y70" s="5"/>
      <c r="Z70" s="6"/>
    </row>
    <row r="71" spans="4:26" s="2" customFormat="1" x14ac:dyDescent="0.2">
      <c r="E71" s="18"/>
      <c r="F71" s="18"/>
      <c r="G71" s="18"/>
      <c r="H71" s="18"/>
      <c r="I71" s="18"/>
      <c r="J71" s="18"/>
      <c r="K71" s="18"/>
      <c r="O71" s="19"/>
      <c r="P71" s="19"/>
      <c r="Q71" s="19"/>
      <c r="R71" s="19"/>
      <c r="S71" s="19"/>
      <c r="T71" s="19"/>
      <c r="U71" s="19"/>
      <c r="V71" s="19"/>
      <c r="W71" s="15"/>
      <c r="X71" s="15"/>
      <c r="Y71" s="5"/>
      <c r="Z71" s="6"/>
    </row>
    <row r="72" spans="4:26" s="2" customFormat="1" x14ac:dyDescent="0.2">
      <c r="E72" s="18"/>
      <c r="F72" s="18"/>
      <c r="G72" s="18"/>
      <c r="H72" s="18"/>
      <c r="I72" s="18"/>
      <c r="J72" s="18"/>
      <c r="K72" s="18"/>
      <c r="O72" s="19"/>
      <c r="P72" s="19"/>
      <c r="Q72" s="19"/>
      <c r="R72" s="19"/>
      <c r="S72" s="19"/>
      <c r="T72" s="19"/>
      <c r="U72" s="19"/>
      <c r="V72" s="19"/>
      <c r="W72" s="15"/>
      <c r="X72" s="15"/>
      <c r="Y72" s="5"/>
      <c r="Z72" s="6"/>
    </row>
    <row r="73" spans="4:26" s="2" customFormat="1" x14ac:dyDescent="0.2">
      <c r="E73" s="18"/>
      <c r="F73" s="18"/>
      <c r="G73" s="18"/>
      <c r="H73" s="18"/>
      <c r="I73" s="18"/>
      <c r="J73" s="18"/>
      <c r="K73" s="18"/>
      <c r="O73" s="19"/>
      <c r="P73" s="19"/>
      <c r="Q73" s="19"/>
      <c r="R73" s="19"/>
      <c r="S73" s="19"/>
      <c r="T73" s="19"/>
      <c r="U73" s="19"/>
      <c r="V73" s="19"/>
      <c r="W73" s="15"/>
      <c r="X73" s="15"/>
      <c r="Y73" s="5"/>
      <c r="Z73" s="6"/>
    </row>
    <row r="75" spans="4:26" x14ac:dyDescent="0.2">
      <c r="D75" t="s">
        <v>69</v>
      </c>
      <c r="E75" s="3">
        <f t="shared" ref="E75:J75" si="30">SUM(E2:E50)</f>
        <v>824848636.87731361</v>
      </c>
      <c r="F75" s="3">
        <f t="shared" si="30"/>
        <v>41242431.843865678</v>
      </c>
      <c r="G75" s="3">
        <f t="shared" si="30"/>
        <v>12279000</v>
      </c>
      <c r="H75" s="3">
        <f t="shared" si="30"/>
        <v>878370068.72117937</v>
      </c>
      <c r="I75" s="3">
        <f t="shared" si="30"/>
        <v>20247153.550000001</v>
      </c>
      <c r="J75" s="3">
        <f t="shared" si="30"/>
        <v>898617222.27117944</v>
      </c>
      <c r="K75" s="3"/>
      <c r="L75" s="3">
        <f>SUM(L2:L50)</f>
        <v>1977</v>
      </c>
      <c r="M75" s="3">
        <f>SUM(M2:M50)</f>
        <v>933</v>
      </c>
      <c r="N75" s="3">
        <f>SUM(N2:N50)</f>
        <v>2595</v>
      </c>
      <c r="W75" s="17">
        <f>++SUM(W2:W50)</f>
        <v>1.0000000000000002</v>
      </c>
      <c r="X75" s="17">
        <f>++SUM(X2:X50)</f>
        <v>1</v>
      </c>
      <c r="Y75" s="17">
        <f>++SUM(Y2:Y50)</f>
        <v>1.0000000000000002</v>
      </c>
    </row>
    <row r="76" spans="4:26" x14ac:dyDescent="0.2">
      <c r="G76" s="4"/>
      <c r="J76" s="3"/>
      <c r="K76" s="3"/>
      <c r="L76" s="3"/>
      <c r="M76" s="14"/>
      <c r="N76" s="3"/>
    </row>
    <row r="77" spans="4:26" x14ac:dyDescent="0.2">
      <c r="D77" t="s">
        <v>70</v>
      </c>
      <c r="E77" s="3">
        <f>AVERAGE(E2:E50)</f>
        <v>16833645.650557421</v>
      </c>
      <c r="F77" s="3">
        <f>AVERAGE(F2:F50)</f>
        <v>841682.28252787096</v>
      </c>
      <c r="G77" s="3">
        <f>AVERAGE(G2:G50)</f>
        <v>250591.83673469388</v>
      </c>
      <c r="H77" s="3">
        <f>AVERAGE(H2:H50)</f>
        <v>17925919.769819986</v>
      </c>
      <c r="J77" s="3">
        <f>AVERAGE(J2:J50)</f>
        <v>18339126.985126112</v>
      </c>
      <c r="K77" s="3">
        <f>AVERAGE(K2:K50)</f>
        <v>846818.02707939164</v>
      </c>
      <c r="L77" s="3">
        <f>AVERAGE(L2:L50)</f>
        <v>40.346938775510203</v>
      </c>
      <c r="M77" s="3">
        <f>AVERAGE(M2:M50)</f>
        <v>19.040816326530614</v>
      </c>
      <c r="N77" s="3">
        <f>AVERAGE(N2:N50)</f>
        <v>52.95918367346939</v>
      </c>
      <c r="Z77" s="20">
        <f>AVERAGE(Z2:Z50)</f>
        <v>1.0302762648156074</v>
      </c>
    </row>
    <row r="78" spans="4:26" x14ac:dyDescent="0.2">
      <c r="D78" t="s">
        <v>71</v>
      </c>
      <c r="E78" s="3">
        <f>MEDIAN(E2:E50)</f>
        <v>2920457</v>
      </c>
      <c r="F78" s="3">
        <f>MEDIAN(F2:F50)</f>
        <v>146022.85</v>
      </c>
      <c r="G78" s="3">
        <f>MEDIAN(G2:G50)</f>
        <v>80000</v>
      </c>
      <c r="H78" s="3">
        <f>MEDIAN(H2:H50)</f>
        <v>3126479.85</v>
      </c>
      <c r="J78" s="3">
        <f>MEDIAN(J2:J50)</f>
        <v>4049817.1</v>
      </c>
      <c r="K78" s="3">
        <f>MEDIAN(K2:K50)</f>
        <v>717463.75</v>
      </c>
      <c r="L78" s="3">
        <f>MEDIAN(L2:L50)</f>
        <v>5</v>
      </c>
      <c r="M78" s="3">
        <f>MEDIAN(M2:M50)</f>
        <v>3</v>
      </c>
      <c r="N78" s="3">
        <f>MEDIAN(N2:N50)</f>
        <v>10</v>
      </c>
      <c r="Z78" s="20">
        <f>MEDIAN(Z2:Z50)</f>
        <v>0.75</v>
      </c>
    </row>
    <row r="79" spans="4:26" x14ac:dyDescent="0.2">
      <c r="D79" t="s">
        <v>72</v>
      </c>
      <c r="E79" s="3">
        <f>SUMPRODUCT(E2:E50,Y2:Y50)</f>
        <v>150299337.62107238</v>
      </c>
      <c r="F79" s="3">
        <f>SUMPRODUCT(Y2:Y50,F2:F50)</f>
        <v>7514966.8810536172</v>
      </c>
      <c r="G79" s="3">
        <f>SUMPRODUCT(S2:S50,Y2:Y50)</f>
        <v>45528.610404624262</v>
      </c>
      <c r="H79" s="3">
        <f>SUMPRODUCT(Table1[Total insured Premium],Y2:Y50)</f>
        <v>159087017.41156718</v>
      </c>
      <c r="J79" s="3">
        <f>SUMPRODUCT(Y2:Y50,J2:J50)</f>
        <v>159935393.47836876</v>
      </c>
      <c r="K79" s="3">
        <f>SUMPRODUCT(Y2:Y50,K2:K50)</f>
        <v>554249.33953413693</v>
      </c>
      <c r="L79" s="3">
        <f>SUMPRODUCT(W2:W50,L2:L50)</f>
        <v>533.12746585735931</v>
      </c>
      <c r="M79" s="3">
        <f>SUMPRODUCT(X2:X50,M2:M50)</f>
        <v>190.42550911039658</v>
      </c>
      <c r="N79" s="3">
        <f>SUMPRODUCT(Y2:Y50,N2:N50)</f>
        <v>451.52485549132967</v>
      </c>
      <c r="Z79" s="21">
        <f>SUMPRODUCT(Z2:Z50,Y2:Y50)</f>
        <v>0.7425265120804595</v>
      </c>
    </row>
    <row r="80" spans="4:26" x14ac:dyDescent="0.2">
      <c r="K80" s="3"/>
      <c r="Z80" s="20">
        <f>M75/L75</f>
        <v>0.47192716236722304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838D-34DC-B94A-B580-D32F95ED6E92}">
  <dimension ref="A1"/>
  <sheetViews>
    <sheetView topLeftCell="A4" workbookViewId="0">
      <selection activeCell="G9" sqref="G9"/>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278B-1044-4F49-8283-69115B070839}">
  <dimension ref="B2:N18"/>
  <sheetViews>
    <sheetView workbookViewId="0">
      <selection activeCell="D40" sqref="D40"/>
    </sheetView>
  </sheetViews>
  <sheetFormatPr baseColWidth="10" defaultColWidth="8.83203125" defaultRowHeight="15" x14ac:dyDescent="0.2"/>
  <cols>
    <col min="2" max="2" width="28.33203125" bestFit="1" customWidth="1"/>
    <col min="3" max="3" width="15.5" bestFit="1" customWidth="1"/>
    <col min="4" max="4" width="8.6640625" bestFit="1" customWidth="1"/>
    <col min="5" max="14" width="10.1640625" bestFit="1" customWidth="1"/>
  </cols>
  <sheetData>
    <row r="2" spans="2:14" x14ac:dyDescent="0.2">
      <c r="B2" s="10" t="s">
        <v>29</v>
      </c>
      <c r="C2" s="10" t="s">
        <v>30</v>
      </c>
      <c r="D2" s="10" t="s">
        <v>31</v>
      </c>
      <c r="E2" s="10" t="s">
        <v>32</v>
      </c>
      <c r="F2" s="10" t="s">
        <v>33</v>
      </c>
      <c r="G2" s="10" t="s">
        <v>34</v>
      </c>
      <c r="H2" s="10" t="s">
        <v>35</v>
      </c>
      <c r="I2" s="10" t="s">
        <v>36</v>
      </c>
      <c r="J2" s="10" t="s">
        <v>37</v>
      </c>
      <c r="K2" s="10" t="s">
        <v>38</v>
      </c>
      <c r="L2" s="10" t="s">
        <v>39</v>
      </c>
      <c r="M2" s="10" t="s">
        <v>40</v>
      </c>
      <c r="N2" s="10" t="s">
        <v>41</v>
      </c>
    </row>
    <row r="3" spans="2:14" x14ac:dyDescent="0.2">
      <c r="B3" s="58" t="s">
        <v>42</v>
      </c>
      <c r="C3" s="11" t="s">
        <v>43</v>
      </c>
      <c r="D3" s="12">
        <v>510613.37083814689</v>
      </c>
      <c r="E3" s="12">
        <v>965219.25785500812</v>
      </c>
      <c r="F3" s="12">
        <v>1151864.8419426181</v>
      </c>
      <c r="G3" s="12">
        <v>1338510.4260302284</v>
      </c>
      <c r="H3" s="12">
        <v>1525156.0101178389</v>
      </c>
      <c r="I3" s="12">
        <v>1711801.5942054489</v>
      </c>
      <c r="J3" s="12">
        <v>1898447.1782930591</v>
      </c>
      <c r="K3" s="12">
        <v>2085092.7623806691</v>
      </c>
      <c r="L3" s="12">
        <v>2271738.3464682796</v>
      </c>
      <c r="M3" s="12">
        <v>2458383.9305558898</v>
      </c>
      <c r="N3" s="12">
        <v>2645029.5146435001</v>
      </c>
    </row>
    <row r="4" spans="2:14" x14ac:dyDescent="0.2">
      <c r="B4" s="58"/>
      <c r="C4" s="11" t="s">
        <v>44</v>
      </c>
      <c r="D4" s="13">
        <v>20</v>
      </c>
      <c r="E4" s="13">
        <v>2</v>
      </c>
      <c r="F4" s="13">
        <v>2</v>
      </c>
      <c r="G4" s="13">
        <v>1</v>
      </c>
      <c r="H4" s="13">
        <v>2</v>
      </c>
      <c r="I4" s="13">
        <v>0</v>
      </c>
      <c r="J4" s="13">
        <v>0</v>
      </c>
      <c r="K4" s="13">
        <v>0</v>
      </c>
      <c r="L4" s="13">
        <v>0</v>
      </c>
      <c r="M4" s="13">
        <v>0</v>
      </c>
      <c r="N4" s="13">
        <v>0</v>
      </c>
    </row>
    <row r="5" spans="2:14" x14ac:dyDescent="0.2">
      <c r="B5" s="58" t="s">
        <v>8</v>
      </c>
      <c r="C5" s="11" t="s">
        <v>43</v>
      </c>
      <c r="D5" s="12">
        <v>179610</v>
      </c>
      <c r="E5" s="12">
        <v>323283</v>
      </c>
      <c r="F5" s="12">
        <v>377862</v>
      </c>
      <c r="G5" s="12">
        <v>443817</v>
      </c>
      <c r="H5" s="12">
        <v>512616</v>
      </c>
      <c r="I5" s="12">
        <v>575727</v>
      </c>
      <c r="J5" s="12">
        <v>638838</v>
      </c>
      <c r="K5" s="12">
        <v>701950</v>
      </c>
      <c r="L5" s="12">
        <v>765061</v>
      </c>
      <c r="M5" s="12">
        <v>828172</v>
      </c>
      <c r="N5" s="12">
        <v>891283</v>
      </c>
    </row>
    <row r="6" spans="2:14" x14ac:dyDescent="0.2">
      <c r="B6" s="58"/>
      <c r="C6" s="11" t="s">
        <v>44</v>
      </c>
      <c r="D6" s="13">
        <v>48</v>
      </c>
      <c r="E6" s="13">
        <v>0</v>
      </c>
      <c r="F6" s="13">
        <v>0</v>
      </c>
      <c r="G6" s="13">
        <v>0</v>
      </c>
      <c r="H6" s="13">
        <v>0</v>
      </c>
      <c r="I6" s="13">
        <v>0</v>
      </c>
      <c r="J6" s="13">
        <v>0</v>
      </c>
      <c r="K6" s="13">
        <v>0</v>
      </c>
      <c r="L6" s="13">
        <v>0</v>
      </c>
      <c r="M6" s="13">
        <v>0</v>
      </c>
      <c r="N6" s="13">
        <v>0</v>
      </c>
    </row>
    <row r="7" spans="2:14" x14ac:dyDescent="0.2">
      <c r="B7" s="58" t="s">
        <v>9</v>
      </c>
      <c r="C7" s="11" t="s">
        <v>43</v>
      </c>
      <c r="D7" s="12">
        <v>368955.82468005701</v>
      </c>
      <c r="E7" s="12">
        <v>848391.32676644227</v>
      </c>
      <c r="F7" s="12">
        <v>1008345.4089934464</v>
      </c>
      <c r="G7" s="12">
        <v>1168299.491220451</v>
      </c>
      <c r="H7" s="12">
        <v>1328253.573447455</v>
      </c>
      <c r="I7" s="12">
        <v>1488207.6556744589</v>
      </c>
      <c r="J7" s="12">
        <v>1648161.7379014632</v>
      </c>
      <c r="K7" s="12">
        <v>1808115.8201284674</v>
      </c>
      <c r="L7" s="12">
        <v>1968069.9023554714</v>
      </c>
      <c r="M7" s="12">
        <v>2128023.9845824759</v>
      </c>
      <c r="N7" s="12">
        <v>2287978.0668094796</v>
      </c>
    </row>
    <row r="8" spans="2:14" x14ac:dyDescent="0.2">
      <c r="B8" s="58"/>
      <c r="C8" s="11" t="s">
        <v>44</v>
      </c>
      <c r="D8" s="13">
        <v>12</v>
      </c>
      <c r="E8" s="13">
        <v>6</v>
      </c>
      <c r="F8" s="13">
        <v>4</v>
      </c>
      <c r="G8" s="13">
        <v>14</v>
      </c>
      <c r="H8" s="13">
        <v>2</v>
      </c>
      <c r="I8" s="13">
        <v>4</v>
      </c>
      <c r="J8" s="13">
        <v>1</v>
      </c>
      <c r="K8" s="13">
        <v>0</v>
      </c>
      <c r="L8" s="13">
        <v>0</v>
      </c>
      <c r="M8" s="13">
        <v>0</v>
      </c>
      <c r="N8" s="13">
        <v>0</v>
      </c>
    </row>
    <row r="9" spans="2:14" x14ac:dyDescent="0.2">
      <c r="B9" s="58" t="s">
        <v>10</v>
      </c>
      <c r="C9" s="11" t="s">
        <v>43</v>
      </c>
      <c r="D9" s="12">
        <v>688594</v>
      </c>
      <c r="E9" s="12">
        <v>1244820</v>
      </c>
      <c r="F9" s="12">
        <v>1460496</v>
      </c>
      <c r="G9" s="12">
        <v>1724520</v>
      </c>
      <c r="H9" s="12">
        <v>2000631</v>
      </c>
      <c r="I9" s="12">
        <v>2252568</v>
      </c>
      <c r="J9" s="12">
        <v>2504505</v>
      </c>
      <c r="K9" s="12">
        <v>2756442</v>
      </c>
      <c r="L9" s="12">
        <v>3008379</v>
      </c>
      <c r="M9" s="12">
        <v>3260316</v>
      </c>
      <c r="N9" s="12">
        <v>3512254</v>
      </c>
    </row>
    <row r="10" spans="2:14" x14ac:dyDescent="0.2">
      <c r="B10" s="58"/>
      <c r="C10" s="11" t="s">
        <v>44</v>
      </c>
      <c r="D10" s="13">
        <v>3</v>
      </c>
      <c r="E10" s="13">
        <v>0</v>
      </c>
      <c r="F10" s="13">
        <v>1</v>
      </c>
      <c r="G10" s="13">
        <v>0</v>
      </c>
      <c r="H10" s="13">
        <v>0</v>
      </c>
      <c r="I10" s="13">
        <v>0</v>
      </c>
      <c r="J10" s="13">
        <v>0</v>
      </c>
      <c r="K10" s="13">
        <v>0</v>
      </c>
      <c r="L10" s="13">
        <v>0</v>
      </c>
      <c r="M10" s="13">
        <v>0</v>
      </c>
      <c r="N10" s="13">
        <v>0</v>
      </c>
    </row>
    <row r="11" spans="2:14" x14ac:dyDescent="0.2">
      <c r="B11" s="58" t="s">
        <v>11</v>
      </c>
      <c r="C11" s="11" t="s">
        <v>43</v>
      </c>
      <c r="D11" s="12">
        <v>571243</v>
      </c>
      <c r="E11" s="12">
        <v>0</v>
      </c>
      <c r="F11" s="12">
        <v>0</v>
      </c>
      <c r="G11" s="12">
        <v>0</v>
      </c>
      <c r="H11" s="12">
        <v>0</v>
      </c>
      <c r="I11" s="12">
        <v>0</v>
      </c>
      <c r="J11" s="12">
        <v>0</v>
      </c>
      <c r="K11" s="12">
        <v>0</v>
      </c>
      <c r="L11" s="12">
        <v>0</v>
      </c>
      <c r="M11" s="12">
        <v>0</v>
      </c>
      <c r="N11" s="12">
        <v>0</v>
      </c>
    </row>
    <row r="12" spans="2:14" x14ac:dyDescent="0.2">
      <c r="B12" s="58"/>
      <c r="C12" s="11" t="s">
        <v>44</v>
      </c>
      <c r="D12" s="13">
        <v>4</v>
      </c>
      <c r="E12" s="13">
        <v>0</v>
      </c>
      <c r="F12" s="13">
        <v>0</v>
      </c>
      <c r="G12" s="13">
        <v>0</v>
      </c>
      <c r="H12" s="13">
        <v>0</v>
      </c>
      <c r="I12" s="13">
        <v>0</v>
      </c>
      <c r="J12" s="13">
        <v>0</v>
      </c>
      <c r="K12" s="13">
        <v>0</v>
      </c>
      <c r="L12" s="13">
        <v>0</v>
      </c>
      <c r="M12" s="13">
        <v>0</v>
      </c>
      <c r="N12" s="13">
        <v>0</v>
      </c>
    </row>
    <row r="13" spans="2:14" x14ac:dyDescent="0.2">
      <c r="B13" s="55" t="s">
        <v>19</v>
      </c>
      <c r="C13" s="11" t="s">
        <v>45</v>
      </c>
      <c r="D13" s="12">
        <v>136125.01845267054</v>
      </c>
      <c r="E13" s="12">
        <v>251300.18240817034</v>
      </c>
      <c r="F13" s="12">
        <v>278566.72036620253</v>
      </c>
      <c r="G13" s="12">
        <v>305833.25832423469</v>
      </c>
      <c r="H13" s="12">
        <v>333099.79628226691</v>
      </c>
      <c r="I13" s="12">
        <v>360366.33424029913</v>
      </c>
      <c r="J13" s="12">
        <v>387632.87219833134</v>
      </c>
      <c r="K13" s="12">
        <v>414899.41015636356</v>
      </c>
      <c r="L13" s="12">
        <v>442165.94811439578</v>
      </c>
      <c r="M13" s="12">
        <v>469432.486072428</v>
      </c>
      <c r="N13" s="12">
        <v>496699.02403046028</v>
      </c>
    </row>
    <row r="14" spans="2:14" x14ac:dyDescent="0.2">
      <c r="B14" s="56"/>
      <c r="C14" s="11" t="s">
        <v>46</v>
      </c>
      <c r="D14" s="12">
        <v>117041.03448204558</v>
      </c>
      <c r="E14" s="12">
        <v>213796.91231805118</v>
      </c>
      <c r="F14" s="12">
        <v>238867.35624653965</v>
      </c>
      <c r="G14" s="12">
        <v>263937.80017502815</v>
      </c>
      <c r="H14" s="12">
        <v>289008.24410351668</v>
      </c>
      <c r="I14" s="12">
        <v>314078.68803200522</v>
      </c>
      <c r="J14" s="12">
        <v>339149.13196049375</v>
      </c>
      <c r="K14" s="12">
        <v>364219.57588898228</v>
      </c>
      <c r="L14" s="12">
        <v>389290.01981747081</v>
      </c>
      <c r="M14" s="12">
        <v>414360.46374595934</v>
      </c>
      <c r="N14" s="12">
        <v>439430.90767444787</v>
      </c>
    </row>
    <row r="15" spans="2:14" x14ac:dyDescent="0.2">
      <c r="B15" s="57"/>
      <c r="C15" s="11" t="s">
        <v>44</v>
      </c>
      <c r="D15" s="12">
        <v>14</v>
      </c>
      <c r="E15" s="12">
        <v>2</v>
      </c>
      <c r="F15" s="12">
        <v>0</v>
      </c>
      <c r="G15" s="12">
        <v>0</v>
      </c>
      <c r="H15" s="12">
        <v>0</v>
      </c>
      <c r="I15" s="12">
        <v>0</v>
      </c>
      <c r="J15" s="12">
        <v>0</v>
      </c>
      <c r="K15" s="12">
        <v>0</v>
      </c>
      <c r="L15" s="12">
        <v>0</v>
      </c>
      <c r="M15" s="12">
        <v>0</v>
      </c>
      <c r="N15" s="12">
        <v>0</v>
      </c>
    </row>
    <row r="16" spans="2:14" x14ac:dyDescent="0.2">
      <c r="B16" s="55" t="s">
        <v>12</v>
      </c>
      <c r="C16" s="11" t="s">
        <v>45</v>
      </c>
      <c r="D16" s="12">
        <v>156157.7207366449</v>
      </c>
      <c r="E16" s="12">
        <v>259970.92446035403</v>
      </c>
      <c r="F16" s="12">
        <v>288807.92549471767</v>
      </c>
      <c r="G16" s="12">
        <v>317644.92652908131</v>
      </c>
      <c r="H16" s="12">
        <v>346481.92756344506</v>
      </c>
      <c r="I16" s="12">
        <v>375318.9285978087</v>
      </c>
      <c r="J16" s="12">
        <v>404155.92963217234</v>
      </c>
      <c r="K16" s="12">
        <v>432992.93066653598</v>
      </c>
      <c r="L16" s="12">
        <v>461829.93170089961</v>
      </c>
      <c r="M16" s="12">
        <v>490666.93273526337</v>
      </c>
      <c r="N16" s="12">
        <v>519503.93376962713</v>
      </c>
    </row>
    <row r="17" spans="2:14" x14ac:dyDescent="0.2">
      <c r="B17" s="56"/>
      <c r="C17" s="11" t="s">
        <v>46</v>
      </c>
      <c r="D17" s="12">
        <v>106849.7207712894</v>
      </c>
      <c r="E17" s="12">
        <v>217235.94122438855</v>
      </c>
      <c r="F17" s="12">
        <v>240986.88810400921</v>
      </c>
      <c r="G17" s="12">
        <v>264737.83498362993</v>
      </c>
      <c r="H17" s="12">
        <v>288488.781863251</v>
      </c>
      <c r="I17" s="12">
        <v>312239.72874287138</v>
      </c>
      <c r="J17" s="12">
        <v>335990.67562249204</v>
      </c>
      <c r="K17" s="12">
        <v>359741.62250211276</v>
      </c>
      <c r="L17" s="12">
        <v>383492.56938173342</v>
      </c>
      <c r="M17" s="12">
        <v>407243.51626135421</v>
      </c>
      <c r="N17" s="12">
        <v>430994.46314097493</v>
      </c>
    </row>
    <row r="18" spans="2:14" x14ac:dyDescent="0.2">
      <c r="B18" s="57"/>
      <c r="C18" s="11" t="s">
        <v>44</v>
      </c>
      <c r="D18" s="12">
        <v>29</v>
      </c>
      <c r="E18" s="12">
        <v>1</v>
      </c>
      <c r="F18" s="12">
        <v>1</v>
      </c>
      <c r="G18" s="12">
        <v>1</v>
      </c>
      <c r="H18" s="12">
        <v>1</v>
      </c>
      <c r="I18" s="12">
        <v>0</v>
      </c>
      <c r="J18" s="12">
        <v>0</v>
      </c>
      <c r="K18" s="12">
        <v>0</v>
      </c>
      <c r="L18" s="12">
        <v>0</v>
      </c>
      <c r="M18" s="12">
        <v>0</v>
      </c>
      <c r="N18" s="12">
        <v>0</v>
      </c>
    </row>
  </sheetData>
  <mergeCells count="7">
    <mergeCell ref="B16:B18"/>
    <mergeCell ref="B3:B4"/>
    <mergeCell ref="B5:B6"/>
    <mergeCell ref="B7:B8"/>
    <mergeCell ref="B9:B10"/>
    <mergeCell ref="B11:B12"/>
    <mergeCell ref="B13:B1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58AE-44F4-7242-A942-D4E67DE91A4D}">
  <dimension ref="A1:B15"/>
  <sheetViews>
    <sheetView workbookViewId="0">
      <selection activeCell="B4" sqref="B4"/>
    </sheetView>
  </sheetViews>
  <sheetFormatPr baseColWidth="10" defaultRowHeight="15" x14ac:dyDescent="0.2"/>
  <cols>
    <col min="1" max="1" width="18.1640625" bestFit="1" customWidth="1"/>
    <col min="2" max="2" width="13" bestFit="1" customWidth="1"/>
    <col min="5" max="5" width="18.1640625" bestFit="1" customWidth="1"/>
    <col min="6" max="6" width="13" bestFit="1" customWidth="1"/>
  </cols>
  <sheetData>
    <row r="1" spans="1:2" x14ac:dyDescent="0.2">
      <c r="A1" s="23" t="s">
        <v>83</v>
      </c>
      <c r="B1" s="23" t="s">
        <v>84</v>
      </c>
    </row>
    <row r="2" spans="1:2" x14ac:dyDescent="0.2">
      <c r="A2" s="3">
        <v>1000000</v>
      </c>
      <c r="B2" t="s">
        <v>86</v>
      </c>
    </row>
    <row r="3" spans="1:2" x14ac:dyDescent="0.2">
      <c r="A3" s="3">
        <v>499</v>
      </c>
      <c r="B3" t="s">
        <v>87</v>
      </c>
    </row>
    <row r="4" spans="1:2" x14ac:dyDescent="0.2">
      <c r="A4" s="3">
        <v>99</v>
      </c>
      <c r="B4" t="s">
        <v>88</v>
      </c>
    </row>
    <row r="5" spans="1:2" x14ac:dyDescent="0.2">
      <c r="A5" s="3">
        <v>29</v>
      </c>
      <c r="B5" t="s">
        <v>89</v>
      </c>
    </row>
    <row r="10" spans="1:2" x14ac:dyDescent="0.2">
      <c r="A10" s="23" t="s">
        <v>123</v>
      </c>
      <c r="B10" s="23" t="s">
        <v>84</v>
      </c>
    </row>
    <row r="11" spans="1:2" x14ac:dyDescent="0.2">
      <c r="A11" s="37">
        <v>5000</v>
      </c>
      <c r="B11" t="s">
        <v>85</v>
      </c>
    </row>
    <row r="12" spans="1:2" x14ac:dyDescent="0.2">
      <c r="A12" s="37">
        <v>750</v>
      </c>
      <c r="B12" t="s">
        <v>86</v>
      </c>
    </row>
    <row r="13" spans="1:2" x14ac:dyDescent="0.2">
      <c r="A13" s="37">
        <v>250</v>
      </c>
      <c r="B13" t="s">
        <v>87</v>
      </c>
    </row>
    <row r="14" spans="1:2" x14ac:dyDescent="0.2">
      <c r="A14" s="37">
        <v>75</v>
      </c>
      <c r="B14" t="s">
        <v>88</v>
      </c>
    </row>
    <row r="15" spans="1:2" x14ac:dyDescent="0.2">
      <c r="A15" s="37">
        <v>15</v>
      </c>
      <c r="B15" t="s">
        <v>89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1"/>
  <sheetViews>
    <sheetView workbookViewId="0">
      <selection activeCell="D11" sqref="D11"/>
    </sheetView>
  </sheetViews>
  <sheetFormatPr baseColWidth="10" defaultColWidth="8.83203125" defaultRowHeight="15" x14ac:dyDescent="0.2"/>
  <sheetData>
    <row r="11" spans="4:4" x14ac:dyDescent="0.2">
      <c r="D11" s="3">
        <f>1070422+1070422+1070422+409695</f>
        <v>3620961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56FE9-F162-7D49-8F85-A50C0278B1F0}">
  <dimension ref="A1"/>
  <sheetViews>
    <sheetView workbookViewId="0">
      <selection activeCell="G28" sqref="G2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4EF9-F883-814C-88E6-04EE545BE0C7}">
  <dimension ref="A1:A2"/>
  <sheetViews>
    <sheetView workbookViewId="0">
      <selection activeCell="C20" sqref="C20"/>
    </sheetView>
  </sheetViews>
  <sheetFormatPr baseColWidth="10" defaultRowHeight="15" x14ac:dyDescent="0.2"/>
  <cols>
    <col min="1" max="2" width="16.83203125" bestFit="1" customWidth="1"/>
    <col min="3" max="4" width="14.33203125" bestFit="1" customWidth="1"/>
    <col min="5" max="5" width="18.1640625" bestFit="1" customWidth="1"/>
  </cols>
  <sheetData>
    <row r="1" spans="1:1" x14ac:dyDescent="0.2">
      <c r="A1" t="s">
        <v>76</v>
      </c>
    </row>
    <row r="2" spans="1:1" x14ac:dyDescent="0.2">
      <c r="A2" s="35">
        <v>824848636.87731361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9CA2-446E-D44E-A6F6-AB612BD9398E}">
  <dimension ref="A1:B5"/>
  <sheetViews>
    <sheetView workbookViewId="0">
      <selection activeCell="C20" sqref="C20"/>
    </sheetView>
  </sheetViews>
  <sheetFormatPr baseColWidth="10" defaultRowHeight="15" x14ac:dyDescent="0.2"/>
  <cols>
    <col min="1" max="1" width="12.1640625" bestFit="1" customWidth="1"/>
    <col min="2" max="2" width="22.33203125" bestFit="1" customWidth="1"/>
    <col min="3" max="3" width="16.33203125" bestFit="1" customWidth="1"/>
    <col min="4" max="5" width="17.33203125" bestFit="1" customWidth="1"/>
    <col min="6" max="6" width="23.83203125" bestFit="1" customWidth="1"/>
  </cols>
  <sheetData>
    <row r="1" spans="1:2" x14ac:dyDescent="0.2">
      <c r="A1" s="7" t="s">
        <v>22</v>
      </c>
      <c r="B1" t="s">
        <v>81</v>
      </c>
    </row>
    <row r="2" spans="1:2" x14ac:dyDescent="0.2">
      <c r="A2" s="8" t="s">
        <v>57</v>
      </c>
      <c r="B2" s="36">
        <v>68199502.75</v>
      </c>
    </row>
    <row r="3" spans="1:2" x14ac:dyDescent="0.2">
      <c r="A3" s="8" t="s">
        <v>56</v>
      </c>
      <c r="B3" s="36">
        <v>83071210.150000006</v>
      </c>
    </row>
    <row r="4" spans="1:2" x14ac:dyDescent="0.2">
      <c r="A4" s="8" t="s">
        <v>55</v>
      </c>
      <c r="B4" s="36">
        <v>727099355.82117927</v>
      </c>
    </row>
    <row r="5" spans="1:2" x14ac:dyDescent="0.2">
      <c r="A5" s="8" t="s">
        <v>23</v>
      </c>
      <c r="B5" s="36">
        <v>878370068.72117925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D931-CBD7-6F42-A6E2-4425559FEC23}">
  <dimension ref="A1:B6"/>
  <sheetViews>
    <sheetView workbookViewId="0">
      <selection activeCell="C20" sqref="C20"/>
    </sheetView>
  </sheetViews>
  <sheetFormatPr baseColWidth="10" defaultRowHeight="15" x14ac:dyDescent="0.2"/>
  <cols>
    <col min="1" max="1" width="12.1640625" bestFit="1" customWidth="1"/>
    <col min="2" max="2" width="22.33203125" bestFit="1" customWidth="1"/>
    <col min="3" max="3" width="16.33203125" bestFit="1" customWidth="1"/>
    <col min="4" max="5" width="17.33203125" bestFit="1" customWidth="1"/>
    <col min="6" max="6" width="23.83203125" bestFit="1" customWidth="1"/>
  </cols>
  <sheetData>
    <row r="1" spans="1:2" x14ac:dyDescent="0.2">
      <c r="A1" s="7" t="s">
        <v>22</v>
      </c>
      <c r="B1" t="s">
        <v>81</v>
      </c>
    </row>
    <row r="2" spans="1:2" x14ac:dyDescent="0.2">
      <c r="A2" s="8" t="s">
        <v>89</v>
      </c>
      <c r="B2" s="44">
        <v>0.26802885883026595</v>
      </c>
    </row>
    <row r="3" spans="1:2" x14ac:dyDescent="0.2">
      <c r="A3" s="8" t="s">
        <v>88</v>
      </c>
      <c r="B3" s="44">
        <v>0.15056457782506685</v>
      </c>
    </row>
    <row r="4" spans="1:2" x14ac:dyDescent="0.2">
      <c r="A4" s="8" t="s">
        <v>86</v>
      </c>
      <c r="B4" s="44">
        <v>0.38798691261892121</v>
      </c>
    </row>
    <row r="5" spans="1:2" x14ac:dyDescent="0.2">
      <c r="A5" s="8" t="s">
        <v>87</v>
      </c>
      <c r="B5" s="44">
        <v>0.19341965072574599</v>
      </c>
    </row>
    <row r="6" spans="1:2" x14ac:dyDescent="0.2">
      <c r="A6" s="8" t="s">
        <v>23</v>
      </c>
      <c r="B6" s="4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15D2-5F58-594C-BB20-3DB558C082CD}">
  <dimension ref="A1:A2"/>
  <sheetViews>
    <sheetView workbookViewId="0">
      <selection activeCell="C20" sqref="C20"/>
    </sheetView>
  </sheetViews>
  <sheetFormatPr baseColWidth="10" defaultRowHeight="15" x14ac:dyDescent="0.2"/>
  <cols>
    <col min="1" max="4" width="14.33203125" bestFit="1" customWidth="1"/>
    <col min="5" max="5" width="18.1640625" bestFit="1" customWidth="1"/>
  </cols>
  <sheetData>
    <row r="1" spans="1:1" x14ac:dyDescent="0.2">
      <c r="A1" t="s">
        <v>28</v>
      </c>
    </row>
    <row r="2" spans="1:1" x14ac:dyDescent="0.2">
      <c r="A2" s="59">
        <v>2181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314A-F413-674D-BB06-1EA2AA697BE9}">
  <dimension ref="A1:B5"/>
  <sheetViews>
    <sheetView topLeftCell="B1" workbookViewId="0">
      <selection activeCell="C20" sqref="C20"/>
    </sheetView>
  </sheetViews>
  <sheetFormatPr baseColWidth="10" defaultRowHeight="15" x14ac:dyDescent="0.2"/>
  <cols>
    <col min="1" max="1" width="12.1640625" bestFit="1" customWidth="1"/>
    <col min="2" max="2" width="19.5" bestFit="1" customWidth="1"/>
    <col min="3" max="3" width="14.33203125" bestFit="1" customWidth="1"/>
    <col min="4" max="5" width="17.33203125" bestFit="1" customWidth="1"/>
    <col min="6" max="6" width="23.83203125" bestFit="1" customWidth="1"/>
  </cols>
  <sheetData>
    <row r="1" spans="1:2" x14ac:dyDescent="0.2">
      <c r="A1" s="7" t="s">
        <v>22</v>
      </c>
      <c r="B1" t="s">
        <v>82</v>
      </c>
    </row>
    <row r="2" spans="1:2" x14ac:dyDescent="0.2">
      <c r="A2" s="8" t="s">
        <v>57</v>
      </c>
      <c r="B2" s="59">
        <v>238</v>
      </c>
    </row>
    <row r="3" spans="1:2" x14ac:dyDescent="0.2">
      <c r="A3" s="8" t="s">
        <v>56</v>
      </c>
      <c r="B3" s="59">
        <v>235</v>
      </c>
    </row>
    <row r="4" spans="1:2" x14ac:dyDescent="0.2">
      <c r="A4" s="8" t="s">
        <v>55</v>
      </c>
      <c r="B4" s="59">
        <v>1708</v>
      </c>
    </row>
    <row r="5" spans="1:2" x14ac:dyDescent="0.2">
      <c r="A5" s="8" t="s">
        <v>23</v>
      </c>
      <c r="B5" s="59">
        <v>2181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308EE-7566-114E-9866-1DA75364D076}">
  <dimension ref="D1:E6"/>
  <sheetViews>
    <sheetView workbookViewId="0">
      <selection activeCell="C20" sqref="C20"/>
    </sheetView>
  </sheetViews>
  <sheetFormatPr baseColWidth="10" defaultRowHeight="15" x14ac:dyDescent="0.2"/>
  <cols>
    <col min="4" max="4" width="12.1640625" bestFit="1" customWidth="1"/>
    <col min="5" max="5" width="19.5" bestFit="1" customWidth="1"/>
    <col min="6" max="6" width="14.33203125" bestFit="1" customWidth="1"/>
    <col min="7" max="8" width="17.33203125" bestFit="1" customWidth="1"/>
    <col min="9" max="9" width="23.83203125" bestFit="1" customWidth="1"/>
  </cols>
  <sheetData>
    <row r="1" spans="4:5" x14ac:dyDescent="0.2">
      <c r="D1" s="7" t="s">
        <v>22</v>
      </c>
      <c r="E1" t="s">
        <v>82</v>
      </c>
    </row>
    <row r="2" spans="4:5" x14ac:dyDescent="0.2">
      <c r="D2" s="8" t="s">
        <v>89</v>
      </c>
      <c r="E2" s="44">
        <v>0.20724438331040806</v>
      </c>
    </row>
    <row r="3" spans="4:5" x14ac:dyDescent="0.2">
      <c r="D3" s="8" t="s">
        <v>88</v>
      </c>
      <c r="E3" s="44">
        <v>0.14947271893626776</v>
      </c>
    </row>
    <row r="4" spans="4:5" x14ac:dyDescent="0.2">
      <c r="D4" s="8" t="s">
        <v>86</v>
      </c>
      <c r="E4" s="44">
        <v>0.42549289316827144</v>
      </c>
    </row>
    <row r="5" spans="4:5" x14ac:dyDescent="0.2">
      <c r="D5" s="8" t="s">
        <v>87</v>
      </c>
      <c r="E5" s="44">
        <v>0.21779000458505274</v>
      </c>
    </row>
    <row r="6" spans="4:5" x14ac:dyDescent="0.2">
      <c r="D6" s="8" t="s">
        <v>23</v>
      </c>
      <c r="E6" s="4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YTD_Premium_Dashboard</vt:lpstr>
      <vt:lpstr>YTD_Lives_Dashboard</vt:lpstr>
      <vt:lpstr>Monthly_Dashboard</vt:lpstr>
      <vt:lpstr>Closed_YTD_Premium</vt:lpstr>
      <vt:lpstr>YTD_Premium_Channel</vt:lpstr>
      <vt:lpstr>YTD_Premium_Segment</vt:lpstr>
      <vt:lpstr>Closed_YTD_Lives</vt:lpstr>
      <vt:lpstr>YTD_Lives_Channel</vt:lpstr>
      <vt:lpstr>YTD_Lives_Segment</vt:lpstr>
      <vt:lpstr>Monthly_Lives and Premium</vt:lpstr>
      <vt:lpstr>Monthly_Overview_Premium</vt:lpstr>
      <vt:lpstr>Monthly_Overview_Lives</vt:lpstr>
      <vt:lpstr>Monthly_Prem_Channel</vt:lpstr>
      <vt:lpstr>Monthly_Lives_Channel</vt:lpstr>
      <vt:lpstr>Monthly_Prem_Segment</vt:lpstr>
      <vt:lpstr>Monthly_Lives_Segment</vt:lpstr>
      <vt:lpstr>YTD_Segment_Metrics</vt:lpstr>
      <vt:lpstr>Client_Metric_Analysis</vt:lpstr>
      <vt:lpstr>Closed Sales Data</vt:lpstr>
      <vt:lpstr>Quoting Convention</vt:lpstr>
      <vt:lpstr>Client_Segments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lonovo</dc:creator>
  <cp:lastModifiedBy>Tshepo Machele</cp:lastModifiedBy>
  <dcterms:created xsi:type="dcterms:W3CDTF">2023-06-06T09:18:50Z</dcterms:created>
  <dcterms:modified xsi:type="dcterms:W3CDTF">2024-09-09T08:15:48Z</dcterms:modified>
</cp:coreProperties>
</file>