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74E1D4D8-7093-45BE-8991-B73F2064DF77}" xr6:coauthVersionLast="47" xr6:coauthVersionMax="47" xr10:uidLastSave="{00000000-0000-0000-0000-000000000000}"/>
  <bookViews>
    <workbookView xWindow="-105" yWindow="0" windowWidth="14610" windowHeight="15585" xr2:uid="{66690E4A-C5FF-4E47-8CBA-57483B0EFF46}"/>
  </bookViews>
  <sheets>
    <sheet name="Closed Sales Data" sheetId="2" r:id="rId1"/>
  </sheets>
  <definedNames>
    <definedName name="_xlnm._FilterDatabase" localSheetId="0" hidden="1">'Closed Sales Data'!$C$1:$AA$8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112" i="2"/>
  <c r="J133" i="2"/>
  <c r="J4" i="2"/>
  <c r="J52" i="2"/>
  <c r="J55" i="2"/>
  <c r="J69" i="2"/>
  <c r="H25" i="2"/>
  <c r="H3" i="2"/>
  <c r="H135" i="2" s="1"/>
  <c r="H47" i="2"/>
  <c r="H22" i="2"/>
  <c r="H21" i="2"/>
  <c r="H4" i="2"/>
  <c r="H65" i="2"/>
  <c r="H66" i="2"/>
  <c r="H69" i="2"/>
  <c r="H73" i="2"/>
  <c r="H90" i="2"/>
  <c r="G52" i="2"/>
  <c r="I52" i="2" s="1"/>
  <c r="K52" i="2" s="1"/>
  <c r="L52" i="2" s="1"/>
  <c r="G53" i="2"/>
  <c r="I53" i="2" s="1"/>
  <c r="K53" i="2" s="1"/>
  <c r="L53" i="2" s="1"/>
  <c r="G54" i="2"/>
  <c r="I54" i="2" s="1"/>
  <c r="K54" i="2" s="1"/>
  <c r="L54" i="2" s="1"/>
  <c r="G55" i="2"/>
  <c r="I55" i="2" s="1"/>
  <c r="G56" i="2"/>
  <c r="I56" i="2" s="1"/>
  <c r="K56" i="2" s="1"/>
  <c r="L56" i="2" s="1"/>
  <c r="G57" i="2"/>
  <c r="I57" i="2" s="1"/>
  <c r="K57" i="2" s="1"/>
  <c r="L57" i="2" s="1"/>
  <c r="G58" i="2"/>
  <c r="I58" i="2" s="1"/>
  <c r="K58" i="2" s="1"/>
  <c r="L58" i="2" s="1"/>
  <c r="G59" i="2"/>
  <c r="I59" i="2" s="1"/>
  <c r="K59" i="2" s="1"/>
  <c r="L59" i="2" s="1"/>
  <c r="G60" i="2"/>
  <c r="I60" i="2" s="1"/>
  <c r="K60" i="2" s="1"/>
  <c r="L60" i="2" s="1"/>
  <c r="G61" i="2"/>
  <c r="I61" i="2" s="1"/>
  <c r="K61" i="2" s="1"/>
  <c r="G63" i="2"/>
  <c r="I63" i="2" s="1"/>
  <c r="K63" i="2" s="1"/>
  <c r="L63" i="2" s="1"/>
  <c r="G64" i="2"/>
  <c r="I64" i="2" s="1"/>
  <c r="K64" i="2" s="1"/>
  <c r="L64" i="2" s="1"/>
  <c r="G67" i="2"/>
  <c r="I67" i="2" s="1"/>
  <c r="K67" i="2" s="1"/>
  <c r="L67" i="2" s="1"/>
  <c r="G68" i="2"/>
  <c r="I68" i="2" s="1"/>
  <c r="K68" i="2" s="1"/>
  <c r="L68" i="2" s="1"/>
  <c r="G70" i="2"/>
  <c r="I70" i="2" s="1"/>
  <c r="K70" i="2" s="1"/>
  <c r="L70" i="2" s="1"/>
  <c r="G71" i="2"/>
  <c r="I71" i="2" s="1"/>
  <c r="K71" i="2" s="1"/>
  <c r="L71" i="2" s="1"/>
  <c r="G72" i="2"/>
  <c r="I72" i="2" s="1"/>
  <c r="K72" i="2" s="1"/>
  <c r="L72" i="2" s="1"/>
  <c r="G74" i="2"/>
  <c r="I74" i="2" s="1"/>
  <c r="K74" i="2" s="1"/>
  <c r="L74" i="2" s="1"/>
  <c r="G75" i="2"/>
  <c r="I75" i="2" s="1"/>
  <c r="K75" i="2" s="1"/>
  <c r="L75" i="2" s="1"/>
  <c r="G76" i="2"/>
  <c r="I76" i="2" s="1"/>
  <c r="K76" i="2" s="1"/>
  <c r="L76" i="2" s="1"/>
  <c r="G77" i="2"/>
  <c r="I77" i="2" s="1"/>
  <c r="K77" i="2" s="1"/>
  <c r="L77" i="2" s="1"/>
  <c r="G78" i="2"/>
  <c r="I78" i="2" s="1"/>
  <c r="K78" i="2" s="1"/>
  <c r="L78" i="2" s="1"/>
  <c r="G79" i="2"/>
  <c r="I79" i="2" s="1"/>
  <c r="K79" i="2" s="1"/>
  <c r="L79" i="2" s="1"/>
  <c r="G80" i="2"/>
  <c r="I80" i="2" s="1"/>
  <c r="K80" i="2" s="1"/>
  <c r="L80" i="2" s="1"/>
  <c r="G81" i="2"/>
  <c r="I81" i="2" s="1"/>
  <c r="K81" i="2" s="1"/>
  <c r="L81" i="2" s="1"/>
  <c r="G82" i="2"/>
  <c r="I82" i="2" s="1"/>
  <c r="K82" i="2" s="1"/>
  <c r="L82" i="2" s="1"/>
  <c r="G83" i="2"/>
  <c r="I83" i="2" s="1"/>
  <c r="K83" i="2" s="1"/>
  <c r="L83" i="2" s="1"/>
  <c r="G84" i="2"/>
  <c r="I84" i="2" s="1"/>
  <c r="K84" i="2" s="1"/>
  <c r="L84" i="2" s="1"/>
  <c r="G85" i="2"/>
  <c r="I85" i="2" s="1"/>
  <c r="K85" i="2" s="1"/>
  <c r="L85" i="2" s="1"/>
  <c r="G86" i="2"/>
  <c r="I86" i="2" s="1"/>
  <c r="K86" i="2" s="1"/>
  <c r="L86" i="2" s="1"/>
  <c r="G87" i="2"/>
  <c r="I87" i="2" s="1"/>
  <c r="K87" i="2" s="1"/>
  <c r="L87" i="2" s="1"/>
  <c r="G88" i="2"/>
  <c r="I88" i="2" s="1"/>
  <c r="K88" i="2" s="1"/>
  <c r="L88" i="2" s="1"/>
  <c r="G90" i="2"/>
  <c r="G91" i="2"/>
  <c r="I91" i="2" s="1"/>
  <c r="K91" i="2" s="1"/>
  <c r="L91" i="2" s="1"/>
  <c r="G92" i="2"/>
  <c r="I92" i="2" s="1"/>
  <c r="K92" i="2" s="1"/>
  <c r="L92" i="2" s="1"/>
  <c r="G93" i="2"/>
  <c r="I93" i="2" s="1"/>
  <c r="K93" i="2" s="1"/>
  <c r="L93" i="2" s="1"/>
  <c r="G94" i="2"/>
  <c r="I94" i="2" s="1"/>
  <c r="K94" i="2" s="1"/>
  <c r="L94" i="2" s="1"/>
  <c r="G95" i="2"/>
  <c r="I95" i="2" s="1"/>
  <c r="K95" i="2" s="1"/>
  <c r="L95" i="2" s="1"/>
  <c r="G96" i="2"/>
  <c r="I96" i="2" s="1"/>
  <c r="K96" i="2" s="1"/>
  <c r="L96" i="2" s="1"/>
  <c r="G97" i="2"/>
  <c r="I97" i="2" s="1"/>
  <c r="K97" i="2" s="1"/>
  <c r="L97" i="2" s="1"/>
  <c r="G98" i="2"/>
  <c r="I98" i="2" s="1"/>
  <c r="K98" i="2" s="1"/>
  <c r="L98" i="2" s="1"/>
  <c r="G99" i="2"/>
  <c r="I99" i="2" s="1"/>
  <c r="K99" i="2" s="1"/>
  <c r="L99" i="2" s="1"/>
  <c r="G100" i="2"/>
  <c r="I100" i="2" s="1"/>
  <c r="K100" i="2" s="1"/>
  <c r="L100" i="2" s="1"/>
  <c r="G101" i="2"/>
  <c r="I101" i="2" s="1"/>
  <c r="K101" i="2" s="1"/>
  <c r="L101" i="2" s="1"/>
  <c r="G102" i="2"/>
  <c r="I102" i="2" s="1"/>
  <c r="K102" i="2" s="1"/>
  <c r="L102" i="2" s="1"/>
  <c r="G103" i="2"/>
  <c r="I103" i="2" s="1"/>
  <c r="K103" i="2" s="1"/>
  <c r="L103" i="2" s="1"/>
  <c r="G104" i="2"/>
  <c r="I104" i="2" s="1"/>
  <c r="K104" i="2" s="1"/>
  <c r="L104" i="2" s="1"/>
  <c r="G105" i="2"/>
  <c r="I105" i="2" s="1"/>
  <c r="K105" i="2" s="1"/>
  <c r="L105" i="2" s="1"/>
  <c r="G106" i="2"/>
  <c r="I106" i="2" s="1"/>
  <c r="K106" i="2" s="1"/>
  <c r="L106" i="2" s="1"/>
  <c r="G107" i="2"/>
  <c r="I107" i="2" s="1"/>
  <c r="K107" i="2" s="1"/>
  <c r="L107" i="2" s="1"/>
  <c r="G108" i="2"/>
  <c r="I108" i="2" s="1"/>
  <c r="K108" i="2" s="1"/>
  <c r="L108" i="2" s="1"/>
  <c r="G109" i="2"/>
  <c r="I109" i="2" s="1"/>
  <c r="K109" i="2" s="1"/>
  <c r="L109" i="2" s="1"/>
  <c r="G110" i="2"/>
  <c r="I110" i="2" s="1"/>
  <c r="K110" i="2" s="1"/>
  <c r="L110" i="2" s="1"/>
  <c r="G111" i="2"/>
  <c r="I111" i="2" s="1"/>
  <c r="K111" i="2" s="1"/>
  <c r="L111" i="2" s="1"/>
  <c r="G112" i="2"/>
  <c r="I112" i="2" s="1"/>
  <c r="G113" i="2"/>
  <c r="I113" i="2" s="1"/>
  <c r="K113" i="2" s="1"/>
  <c r="L113" i="2" s="1"/>
  <c r="G114" i="2"/>
  <c r="I114" i="2" s="1"/>
  <c r="K114" i="2" s="1"/>
  <c r="L114" i="2" s="1"/>
  <c r="G115" i="2"/>
  <c r="I115" i="2" s="1"/>
  <c r="K115" i="2" s="1"/>
  <c r="L115" i="2" s="1"/>
  <c r="G116" i="2"/>
  <c r="I116" i="2" s="1"/>
  <c r="K116" i="2" s="1"/>
  <c r="L116" i="2" s="1"/>
  <c r="G117" i="2"/>
  <c r="I117" i="2" s="1"/>
  <c r="K117" i="2" s="1"/>
  <c r="L117" i="2" s="1"/>
  <c r="G118" i="2"/>
  <c r="I118" i="2" s="1"/>
  <c r="K118" i="2" s="1"/>
  <c r="L118" i="2" s="1"/>
  <c r="G119" i="2"/>
  <c r="I119" i="2" s="1"/>
  <c r="K119" i="2" s="1"/>
  <c r="L119" i="2" s="1"/>
  <c r="G120" i="2"/>
  <c r="I120" i="2" s="1"/>
  <c r="K120" i="2" s="1"/>
  <c r="L120" i="2" s="1"/>
  <c r="G51" i="2"/>
  <c r="I51" i="2" s="1"/>
  <c r="K51" i="2" s="1"/>
  <c r="L51" i="2" s="1"/>
  <c r="F89" i="2"/>
  <c r="G89" i="2" s="1"/>
  <c r="F73" i="2"/>
  <c r="G73" i="2" s="1"/>
  <c r="F69" i="2"/>
  <c r="F66" i="2"/>
  <c r="G66" i="2" s="1"/>
  <c r="F65" i="2"/>
  <c r="G65" i="2" s="1"/>
  <c r="F62" i="2"/>
  <c r="AB38" i="2"/>
  <c r="AB52" i="2"/>
  <c r="AB53" i="2"/>
  <c r="AB54" i="2"/>
  <c r="AB55" i="2"/>
  <c r="AB56" i="2"/>
  <c r="AB57" i="2"/>
  <c r="AB58" i="2"/>
  <c r="AB59" i="2"/>
  <c r="AB60" i="2"/>
  <c r="AB62" i="2"/>
  <c r="AB63" i="2"/>
  <c r="AB64" i="2"/>
  <c r="AB65" i="2"/>
  <c r="AB66" i="2"/>
  <c r="AB67" i="2"/>
  <c r="AB68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51" i="2"/>
  <c r="AA72" i="2"/>
  <c r="AA74" i="2"/>
  <c r="AA75" i="2"/>
  <c r="AA77" i="2"/>
  <c r="AA79" i="2"/>
  <c r="AA80" i="2"/>
  <c r="AA81" i="2"/>
  <c r="AA82" i="2"/>
  <c r="AA83" i="2"/>
  <c r="AA84" i="2"/>
  <c r="AA85" i="2"/>
  <c r="AA86" i="2"/>
  <c r="AA87" i="2"/>
  <c r="AA88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3" i="2"/>
  <c r="AA114" i="2"/>
  <c r="AA115" i="2"/>
  <c r="AA116" i="2"/>
  <c r="AA117" i="2"/>
  <c r="AA118" i="2"/>
  <c r="AA119" i="2"/>
  <c r="AA120" i="2"/>
  <c r="AA54" i="2"/>
  <c r="AA55" i="2"/>
  <c r="AA56" i="2"/>
  <c r="AA57" i="2"/>
  <c r="AA58" i="2"/>
  <c r="AA59" i="2"/>
  <c r="AA60" i="2"/>
  <c r="AA62" i="2"/>
  <c r="AA63" i="2"/>
  <c r="AA64" i="2"/>
  <c r="AA67" i="2"/>
  <c r="AA68" i="2"/>
  <c r="AA70" i="2"/>
  <c r="AA71" i="2"/>
  <c r="AA51" i="2"/>
  <c r="O54" i="2"/>
  <c r="O55" i="2"/>
  <c r="O56" i="2"/>
  <c r="O57" i="2"/>
  <c r="O58" i="2"/>
  <c r="O59" i="2"/>
  <c r="O60" i="2"/>
  <c r="O62" i="2"/>
  <c r="O63" i="2"/>
  <c r="O64" i="2"/>
  <c r="O67" i="2"/>
  <c r="O68" i="2"/>
  <c r="O70" i="2"/>
  <c r="O71" i="2"/>
  <c r="O72" i="2"/>
  <c r="O74" i="2"/>
  <c r="O75" i="2"/>
  <c r="O77" i="2"/>
  <c r="O79" i="2"/>
  <c r="O80" i="2"/>
  <c r="O81" i="2"/>
  <c r="O82" i="2"/>
  <c r="O83" i="2"/>
  <c r="O84" i="2"/>
  <c r="O85" i="2"/>
  <c r="O86" i="2"/>
  <c r="O87" i="2"/>
  <c r="O88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3" i="2"/>
  <c r="O114" i="2"/>
  <c r="O115" i="2"/>
  <c r="O116" i="2"/>
  <c r="O117" i="2"/>
  <c r="O118" i="2"/>
  <c r="O119" i="2"/>
  <c r="O120" i="2"/>
  <c r="O51" i="2"/>
  <c r="N112" i="2"/>
  <c r="AA112" i="2" s="1"/>
  <c r="N89" i="2"/>
  <c r="AA89" i="2" s="1"/>
  <c r="N78" i="2"/>
  <c r="N76" i="2"/>
  <c r="AA76" i="2" s="1"/>
  <c r="N73" i="2"/>
  <c r="AA73" i="2" s="1"/>
  <c r="M69" i="2"/>
  <c r="AA69" i="2" s="1"/>
  <c r="N66" i="2"/>
  <c r="AA66" i="2" s="1"/>
  <c r="N65" i="2"/>
  <c r="N61" i="2"/>
  <c r="M61" i="2"/>
  <c r="AB61" i="2" s="1"/>
  <c r="N53" i="2"/>
  <c r="AA53" i="2" s="1"/>
  <c r="N52" i="2"/>
  <c r="AA52" i="2" s="1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51" i="2"/>
  <c r="W38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51" i="2"/>
  <c r="V38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51" i="2"/>
  <c r="Q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51" i="2"/>
  <c r="R38" i="2"/>
  <c r="R25" i="2"/>
  <c r="R49" i="2"/>
  <c r="R20" i="2"/>
  <c r="R19" i="2"/>
  <c r="R2" i="2"/>
  <c r="R33" i="2"/>
  <c r="R3" i="2"/>
  <c r="R41" i="2"/>
  <c r="R39" i="2"/>
  <c r="R13" i="2"/>
  <c r="R15" i="2"/>
  <c r="R16" i="2"/>
  <c r="R11" i="2"/>
  <c r="R17" i="2"/>
  <c r="R34" i="2"/>
  <c r="R24" i="2"/>
  <c r="R47" i="2"/>
  <c r="R26" i="2"/>
  <c r="R27" i="2"/>
  <c r="R48" i="2"/>
  <c r="R46" i="2"/>
  <c r="R50" i="2"/>
  <c r="R7" i="2"/>
  <c r="R8" i="2"/>
  <c r="R30" i="2"/>
  <c r="R36" i="2"/>
  <c r="R12" i="2"/>
  <c r="R42" i="2"/>
  <c r="R22" i="2"/>
  <c r="R31" i="2"/>
  <c r="R14" i="2"/>
  <c r="R21" i="2"/>
  <c r="R43" i="2"/>
  <c r="R9" i="2"/>
  <c r="R40" i="2"/>
  <c r="R6" i="2"/>
  <c r="R35" i="2"/>
  <c r="R18" i="2"/>
  <c r="R5" i="2"/>
  <c r="R44" i="2"/>
  <c r="R29" i="2"/>
  <c r="R32" i="2"/>
  <c r="R10" i="2"/>
  <c r="R37" i="2"/>
  <c r="R4" i="2"/>
  <c r="R23" i="2"/>
  <c r="R45" i="2"/>
  <c r="R28" i="2"/>
  <c r="Q25" i="2"/>
  <c r="Q49" i="2"/>
  <c r="Q20" i="2"/>
  <c r="Q19" i="2"/>
  <c r="Q2" i="2"/>
  <c r="Q33" i="2"/>
  <c r="Q3" i="2"/>
  <c r="Q41" i="2"/>
  <c r="Q39" i="2"/>
  <c r="Q13" i="2"/>
  <c r="Q15" i="2"/>
  <c r="Q16" i="2"/>
  <c r="Q11" i="2"/>
  <c r="Q17" i="2"/>
  <c r="Q34" i="2"/>
  <c r="Q24" i="2"/>
  <c r="Q47" i="2"/>
  <c r="Q26" i="2"/>
  <c r="Q27" i="2"/>
  <c r="Q48" i="2"/>
  <c r="Q46" i="2"/>
  <c r="Q50" i="2"/>
  <c r="Q7" i="2"/>
  <c r="Q8" i="2"/>
  <c r="Q30" i="2"/>
  <c r="Q36" i="2"/>
  <c r="Q12" i="2"/>
  <c r="Q42" i="2"/>
  <c r="Q22" i="2"/>
  <c r="Q31" i="2"/>
  <c r="Q14" i="2"/>
  <c r="Q21" i="2"/>
  <c r="Q43" i="2"/>
  <c r="Q9" i="2"/>
  <c r="Q40" i="2"/>
  <c r="Q6" i="2"/>
  <c r="Q35" i="2"/>
  <c r="Q18" i="2"/>
  <c r="Q5" i="2"/>
  <c r="Q44" i="2"/>
  <c r="Q29" i="2"/>
  <c r="Q32" i="2"/>
  <c r="Q10" i="2"/>
  <c r="Q37" i="2"/>
  <c r="Q4" i="2"/>
  <c r="Q23" i="2"/>
  <c r="Q45" i="2"/>
  <c r="Q28" i="2"/>
  <c r="Q38" i="2"/>
  <c r="G37" i="2"/>
  <c r="I37" i="2" s="1"/>
  <c r="K37" i="2" s="1"/>
  <c r="L37" i="2" s="1"/>
  <c r="G23" i="2"/>
  <c r="I23" i="2" s="1"/>
  <c r="K23" i="2" s="1"/>
  <c r="L23" i="2" s="1"/>
  <c r="G45" i="2"/>
  <c r="I45" i="2" s="1"/>
  <c r="K45" i="2" s="1"/>
  <c r="L45" i="2" s="1"/>
  <c r="G28" i="2"/>
  <c r="I28" i="2" s="1"/>
  <c r="K28" i="2" s="1"/>
  <c r="L28" i="2" s="1"/>
  <c r="AB31" i="2"/>
  <c r="AB14" i="2"/>
  <c r="AB21" i="2"/>
  <c r="AB43" i="2"/>
  <c r="AB9" i="2"/>
  <c r="AB40" i="2"/>
  <c r="AB6" i="2"/>
  <c r="AB35" i="2"/>
  <c r="AB18" i="2"/>
  <c r="AB5" i="2"/>
  <c r="AB44" i="2"/>
  <c r="AB29" i="2"/>
  <c r="AB32" i="2"/>
  <c r="AB10" i="2"/>
  <c r="AB37" i="2"/>
  <c r="AB23" i="2"/>
  <c r="AB45" i="2"/>
  <c r="AB28" i="2"/>
  <c r="AB26" i="2"/>
  <c r="AB27" i="2"/>
  <c r="AB48" i="2"/>
  <c r="AB46" i="2"/>
  <c r="AB50" i="2"/>
  <c r="AB7" i="2"/>
  <c r="AB8" i="2"/>
  <c r="AB30" i="2"/>
  <c r="AB36" i="2"/>
  <c r="AB12" i="2"/>
  <c r="AB42" i="2"/>
  <c r="AB22" i="2"/>
  <c r="AB49" i="2"/>
  <c r="AB20" i="2"/>
  <c r="AB19" i="2"/>
  <c r="AB2" i="2"/>
  <c r="AB33" i="2"/>
  <c r="AB3" i="2"/>
  <c r="AB41" i="2"/>
  <c r="AB39" i="2"/>
  <c r="AB13" i="2"/>
  <c r="AB15" i="2"/>
  <c r="AB16" i="2"/>
  <c r="AB11" i="2"/>
  <c r="AB17" i="2"/>
  <c r="AB34" i="2"/>
  <c r="AB24" i="2"/>
  <c r="AB47" i="2"/>
  <c r="AA38" i="2"/>
  <c r="U38" i="2"/>
  <c r="S38" i="2"/>
  <c r="O38" i="2"/>
  <c r="F38" i="2"/>
  <c r="G38" i="2" s="1"/>
  <c r="AA28" i="2"/>
  <c r="W28" i="2"/>
  <c r="V28" i="2"/>
  <c r="U28" i="2"/>
  <c r="S28" i="2"/>
  <c r="O28" i="2"/>
  <c r="W45" i="2"/>
  <c r="V45" i="2"/>
  <c r="U45" i="2"/>
  <c r="S45" i="2"/>
  <c r="N45" i="2"/>
  <c r="AA45" i="2" s="1"/>
  <c r="W23" i="2"/>
  <c r="V23" i="2"/>
  <c r="U23" i="2"/>
  <c r="S23" i="2"/>
  <c r="N23" i="2"/>
  <c r="O23" i="2" s="1"/>
  <c r="W4" i="2"/>
  <c r="V4" i="2"/>
  <c r="U4" i="2"/>
  <c r="S4" i="2"/>
  <c r="M4" i="2"/>
  <c r="O4" i="2" s="1"/>
  <c r="F4" i="2"/>
  <c r="G4" i="2" s="1"/>
  <c r="AA37" i="2"/>
  <c r="W37" i="2"/>
  <c r="V37" i="2"/>
  <c r="U37" i="2"/>
  <c r="S37" i="2"/>
  <c r="O37" i="2"/>
  <c r="AA10" i="2"/>
  <c r="W10" i="2"/>
  <c r="V10" i="2"/>
  <c r="U10" i="2"/>
  <c r="S10" i="2"/>
  <c r="O10" i="2"/>
  <c r="G10" i="2"/>
  <c r="I10" i="2" s="1"/>
  <c r="K10" i="2" s="1"/>
  <c r="L10" i="2" s="1"/>
  <c r="AA32" i="2"/>
  <c r="W32" i="2"/>
  <c r="V32" i="2"/>
  <c r="U32" i="2"/>
  <c r="S32" i="2"/>
  <c r="O32" i="2"/>
  <c r="G32" i="2"/>
  <c r="I32" i="2" s="1"/>
  <c r="K32" i="2" s="1"/>
  <c r="L32" i="2" s="1"/>
  <c r="AA29" i="2"/>
  <c r="W29" i="2"/>
  <c r="V29" i="2"/>
  <c r="U29" i="2"/>
  <c r="S29" i="2"/>
  <c r="O29" i="2"/>
  <c r="G29" i="2"/>
  <c r="I29" i="2" s="1"/>
  <c r="K29" i="2" s="1"/>
  <c r="L29" i="2" s="1"/>
  <c r="AA44" i="2"/>
  <c r="W44" i="2"/>
  <c r="V44" i="2"/>
  <c r="U44" i="2"/>
  <c r="S44" i="2"/>
  <c r="O44" i="2"/>
  <c r="G44" i="2"/>
  <c r="I44" i="2" s="1"/>
  <c r="K44" i="2" s="1"/>
  <c r="L44" i="2" s="1"/>
  <c r="AA5" i="2"/>
  <c r="W5" i="2"/>
  <c r="V5" i="2"/>
  <c r="U5" i="2"/>
  <c r="S5" i="2"/>
  <c r="O5" i="2"/>
  <c r="G5" i="2"/>
  <c r="I5" i="2" s="1"/>
  <c r="K5" i="2" s="1"/>
  <c r="L5" i="2" s="1"/>
  <c r="AA18" i="2"/>
  <c r="W18" i="2"/>
  <c r="V18" i="2"/>
  <c r="U18" i="2"/>
  <c r="S18" i="2"/>
  <c r="O18" i="2"/>
  <c r="G18" i="2"/>
  <c r="I18" i="2" s="1"/>
  <c r="K18" i="2" s="1"/>
  <c r="L18" i="2" s="1"/>
  <c r="AA35" i="2"/>
  <c r="W35" i="2"/>
  <c r="V35" i="2"/>
  <c r="U35" i="2"/>
  <c r="S35" i="2"/>
  <c r="O35" i="2"/>
  <c r="F35" i="2"/>
  <c r="AA6" i="2"/>
  <c r="W6" i="2"/>
  <c r="V6" i="2"/>
  <c r="U6" i="2"/>
  <c r="S6" i="2"/>
  <c r="O6" i="2"/>
  <c r="G6" i="2"/>
  <c r="I6" i="2" s="1"/>
  <c r="K6" i="2" s="1"/>
  <c r="L6" i="2" s="1"/>
  <c r="AA40" i="2"/>
  <c r="W40" i="2"/>
  <c r="V40" i="2"/>
  <c r="U40" i="2"/>
  <c r="S40" i="2"/>
  <c r="O40" i="2"/>
  <c r="G40" i="2"/>
  <c r="I40" i="2" s="1"/>
  <c r="K40" i="2" s="1"/>
  <c r="L40" i="2" s="1"/>
  <c r="AA9" i="2"/>
  <c r="W9" i="2"/>
  <c r="V9" i="2"/>
  <c r="U9" i="2"/>
  <c r="S9" i="2"/>
  <c r="O9" i="2"/>
  <c r="G9" i="2"/>
  <c r="I9" i="2" s="1"/>
  <c r="K9" i="2" s="1"/>
  <c r="L9" i="2" s="1"/>
  <c r="AA43" i="2"/>
  <c r="W43" i="2"/>
  <c r="V43" i="2"/>
  <c r="U43" i="2"/>
  <c r="S43" i="2"/>
  <c r="G43" i="2"/>
  <c r="I43" i="2" s="1"/>
  <c r="K43" i="2" s="1"/>
  <c r="L43" i="2" s="1"/>
  <c r="AA21" i="2"/>
  <c r="W21" i="2"/>
  <c r="V21" i="2"/>
  <c r="U21" i="2"/>
  <c r="S21" i="2"/>
  <c r="O21" i="2"/>
  <c r="F21" i="2"/>
  <c r="G21" i="2" s="1"/>
  <c r="AA14" i="2"/>
  <c r="W14" i="2"/>
  <c r="V14" i="2"/>
  <c r="U14" i="2"/>
  <c r="S14" i="2"/>
  <c r="G14" i="2"/>
  <c r="I14" i="2" s="1"/>
  <c r="K14" i="2" s="1"/>
  <c r="L14" i="2" s="1"/>
  <c r="AA31" i="2"/>
  <c r="W31" i="2"/>
  <c r="V31" i="2"/>
  <c r="U31" i="2"/>
  <c r="S31" i="2"/>
  <c r="G31" i="2"/>
  <c r="I31" i="2" s="1"/>
  <c r="K31" i="2" s="1"/>
  <c r="L31" i="2" s="1"/>
  <c r="AA22" i="2"/>
  <c r="W22" i="2"/>
  <c r="V22" i="2"/>
  <c r="U22" i="2"/>
  <c r="S22" i="2"/>
  <c r="O22" i="2"/>
  <c r="F22" i="2"/>
  <c r="G22" i="2" s="1"/>
  <c r="AA42" i="2"/>
  <c r="W42" i="2"/>
  <c r="V42" i="2"/>
  <c r="U42" i="2"/>
  <c r="S42" i="2"/>
  <c r="G42" i="2"/>
  <c r="I42" i="2" s="1"/>
  <c r="K42" i="2" s="1"/>
  <c r="L42" i="2" s="1"/>
  <c r="W12" i="2"/>
  <c r="V12" i="2"/>
  <c r="U12" i="2"/>
  <c r="S12" i="2"/>
  <c r="N12" i="2"/>
  <c r="G12" i="2"/>
  <c r="I12" i="2" s="1"/>
  <c r="K12" i="2" s="1"/>
  <c r="L12" i="2" s="1"/>
  <c r="W36" i="2"/>
  <c r="V36" i="2"/>
  <c r="U36" i="2"/>
  <c r="S36" i="2"/>
  <c r="N36" i="2"/>
  <c r="AA36" i="2" s="1"/>
  <c r="G36" i="2"/>
  <c r="I36" i="2" s="1"/>
  <c r="K36" i="2" s="1"/>
  <c r="L36" i="2" s="1"/>
  <c r="W30" i="2"/>
  <c r="V30" i="2"/>
  <c r="U30" i="2"/>
  <c r="S30" i="2"/>
  <c r="N30" i="2"/>
  <c r="AA30" i="2" s="1"/>
  <c r="G30" i="2"/>
  <c r="I30" i="2" s="1"/>
  <c r="K30" i="2" s="1"/>
  <c r="L30" i="2" s="1"/>
  <c r="W8" i="2"/>
  <c r="V8" i="2"/>
  <c r="U8" i="2"/>
  <c r="S8" i="2"/>
  <c r="N8" i="2"/>
  <c r="G8" i="2"/>
  <c r="I8" i="2" s="1"/>
  <c r="K8" i="2" s="1"/>
  <c r="L8" i="2" s="1"/>
  <c r="W7" i="2"/>
  <c r="V7" i="2"/>
  <c r="U7" i="2"/>
  <c r="S7" i="2"/>
  <c r="N7" i="2"/>
  <c r="G7" i="2"/>
  <c r="I7" i="2" s="1"/>
  <c r="K7" i="2" s="1"/>
  <c r="L7" i="2" s="1"/>
  <c r="W50" i="2"/>
  <c r="V50" i="2"/>
  <c r="U50" i="2"/>
  <c r="S50" i="2"/>
  <c r="N50" i="2"/>
  <c r="G50" i="2"/>
  <c r="I50" i="2" s="1"/>
  <c r="K50" i="2" s="1"/>
  <c r="L50" i="2" s="1"/>
  <c r="AA46" i="2"/>
  <c r="W46" i="2"/>
  <c r="V46" i="2"/>
  <c r="U46" i="2"/>
  <c r="S46" i="2"/>
  <c r="O46" i="2"/>
  <c r="G46" i="2"/>
  <c r="I46" i="2" s="1"/>
  <c r="K46" i="2" s="1"/>
  <c r="L46" i="2" s="1"/>
  <c r="W48" i="2"/>
  <c r="V48" i="2"/>
  <c r="U48" i="2"/>
  <c r="S48" i="2"/>
  <c r="N48" i="2"/>
  <c r="AA48" i="2" s="1"/>
  <c r="G48" i="2"/>
  <c r="I48" i="2" s="1"/>
  <c r="K48" i="2" s="1"/>
  <c r="L48" i="2" s="1"/>
  <c r="W27" i="2"/>
  <c r="V27" i="2"/>
  <c r="U27" i="2"/>
  <c r="S27" i="2"/>
  <c r="N27" i="2"/>
  <c r="AA27" i="2" s="1"/>
  <c r="G27" i="2"/>
  <c r="I27" i="2" s="1"/>
  <c r="K27" i="2" s="1"/>
  <c r="L27" i="2" s="1"/>
  <c r="W26" i="2"/>
  <c r="V26" i="2"/>
  <c r="U26" i="2"/>
  <c r="S26" i="2"/>
  <c r="N26" i="2"/>
  <c r="AA26" i="2" s="1"/>
  <c r="G26" i="2"/>
  <c r="I26" i="2" s="1"/>
  <c r="K26" i="2" s="1"/>
  <c r="L26" i="2" s="1"/>
  <c r="W47" i="2"/>
  <c r="V47" i="2"/>
  <c r="U47" i="2"/>
  <c r="S47" i="2"/>
  <c r="N47" i="2"/>
  <c r="AA47" i="2" s="1"/>
  <c r="F47" i="2"/>
  <c r="W24" i="2"/>
  <c r="V24" i="2"/>
  <c r="U24" i="2"/>
  <c r="S24" i="2"/>
  <c r="N24" i="2"/>
  <c r="AA24" i="2" s="1"/>
  <c r="G24" i="2"/>
  <c r="I24" i="2" s="1"/>
  <c r="K24" i="2" s="1"/>
  <c r="L24" i="2" s="1"/>
  <c r="W34" i="2"/>
  <c r="V34" i="2"/>
  <c r="U34" i="2"/>
  <c r="S34" i="2"/>
  <c r="N34" i="2"/>
  <c r="AA34" i="2" s="1"/>
  <c r="G34" i="2"/>
  <c r="I34" i="2" s="1"/>
  <c r="K34" i="2" s="1"/>
  <c r="L34" i="2" s="1"/>
  <c r="W17" i="2"/>
  <c r="V17" i="2"/>
  <c r="U17" i="2"/>
  <c r="S17" i="2"/>
  <c r="N17" i="2"/>
  <c r="AA17" i="2" s="1"/>
  <c r="G17" i="2"/>
  <c r="I17" i="2" s="1"/>
  <c r="K17" i="2" s="1"/>
  <c r="L17" i="2" s="1"/>
  <c r="W11" i="2"/>
  <c r="V11" i="2"/>
  <c r="U11" i="2"/>
  <c r="S11" i="2"/>
  <c r="N11" i="2"/>
  <c r="AA11" i="2" s="1"/>
  <c r="G11" i="2"/>
  <c r="I11" i="2" s="1"/>
  <c r="K11" i="2" s="1"/>
  <c r="L11" i="2" s="1"/>
  <c r="W16" i="2"/>
  <c r="V16" i="2"/>
  <c r="U16" i="2"/>
  <c r="S16" i="2"/>
  <c r="N16" i="2"/>
  <c r="AA16" i="2" s="1"/>
  <c r="G16" i="2"/>
  <c r="I16" i="2" s="1"/>
  <c r="K16" i="2" s="1"/>
  <c r="L16" i="2" s="1"/>
  <c r="W15" i="2"/>
  <c r="V15" i="2"/>
  <c r="U15" i="2"/>
  <c r="S15" i="2"/>
  <c r="N15" i="2"/>
  <c r="AA15" i="2" s="1"/>
  <c r="G15" i="2"/>
  <c r="I15" i="2" s="1"/>
  <c r="K15" i="2" s="1"/>
  <c r="L15" i="2" s="1"/>
  <c r="W13" i="2"/>
  <c r="V13" i="2"/>
  <c r="U13" i="2"/>
  <c r="S13" i="2"/>
  <c r="N13" i="2"/>
  <c r="AA13" i="2" s="1"/>
  <c r="G13" i="2"/>
  <c r="I13" i="2" s="1"/>
  <c r="K13" i="2" s="1"/>
  <c r="L13" i="2" s="1"/>
  <c r="W39" i="2"/>
  <c r="V39" i="2"/>
  <c r="U39" i="2"/>
  <c r="S39" i="2"/>
  <c r="N39" i="2"/>
  <c r="AA39" i="2" s="1"/>
  <c r="G39" i="2"/>
  <c r="I39" i="2" s="1"/>
  <c r="K39" i="2" s="1"/>
  <c r="L39" i="2" s="1"/>
  <c r="W41" i="2"/>
  <c r="V41" i="2"/>
  <c r="U41" i="2"/>
  <c r="S41" i="2"/>
  <c r="N41" i="2"/>
  <c r="AA41" i="2" s="1"/>
  <c r="G41" i="2"/>
  <c r="I41" i="2" s="1"/>
  <c r="K41" i="2" s="1"/>
  <c r="L41" i="2" s="1"/>
  <c r="W3" i="2"/>
  <c r="V3" i="2"/>
  <c r="U3" i="2"/>
  <c r="S3" i="2"/>
  <c r="N3" i="2"/>
  <c r="AA3" i="2" s="1"/>
  <c r="F3" i="2"/>
  <c r="G3" i="2" s="1"/>
  <c r="W33" i="2"/>
  <c r="V33" i="2"/>
  <c r="U33" i="2"/>
  <c r="S33" i="2"/>
  <c r="N33" i="2"/>
  <c r="G33" i="2"/>
  <c r="I33" i="2" s="1"/>
  <c r="K33" i="2" s="1"/>
  <c r="L33" i="2" s="1"/>
  <c r="W2" i="2"/>
  <c r="V2" i="2"/>
  <c r="U2" i="2"/>
  <c r="S2" i="2"/>
  <c r="N2" i="2"/>
  <c r="AA2" i="2" s="1"/>
  <c r="F2" i="2"/>
  <c r="W19" i="2"/>
  <c r="V19" i="2"/>
  <c r="U19" i="2"/>
  <c r="S19" i="2"/>
  <c r="N19" i="2"/>
  <c r="AA19" i="2" s="1"/>
  <c r="G19" i="2"/>
  <c r="I19" i="2" s="1"/>
  <c r="K19" i="2" s="1"/>
  <c r="L19" i="2" s="1"/>
  <c r="W20" i="2"/>
  <c r="V20" i="2"/>
  <c r="U20" i="2"/>
  <c r="S20" i="2"/>
  <c r="N20" i="2"/>
  <c r="AA20" i="2" s="1"/>
  <c r="G20" i="2"/>
  <c r="I20" i="2" s="1"/>
  <c r="K20" i="2" s="1"/>
  <c r="L20" i="2" s="1"/>
  <c r="W49" i="2"/>
  <c r="V49" i="2"/>
  <c r="U49" i="2"/>
  <c r="S49" i="2"/>
  <c r="N49" i="2"/>
  <c r="AA49" i="2" s="1"/>
  <c r="G49" i="2"/>
  <c r="I49" i="2" s="1"/>
  <c r="K49" i="2" s="1"/>
  <c r="L49" i="2" s="1"/>
  <c r="W25" i="2"/>
  <c r="V25" i="2"/>
  <c r="U25" i="2"/>
  <c r="S25" i="2"/>
  <c r="AB25" i="2"/>
  <c r="G25" i="2"/>
  <c r="I25" i="2" s="1"/>
  <c r="H133" i="2" l="1"/>
  <c r="H136" i="2"/>
  <c r="O76" i="2"/>
  <c r="I90" i="2"/>
  <c r="K90" i="2" s="1"/>
  <c r="L90" i="2" s="1"/>
  <c r="AA61" i="2"/>
  <c r="L61" i="2"/>
  <c r="K112" i="2"/>
  <c r="L112" i="2" s="1"/>
  <c r="K55" i="2"/>
  <c r="L55" i="2" s="1"/>
  <c r="O78" i="2"/>
  <c r="AA65" i="2"/>
  <c r="AA78" i="2"/>
  <c r="G62" i="2"/>
  <c r="I62" i="2" s="1"/>
  <c r="K62" i="2" s="1"/>
  <c r="L62" i="2" s="1"/>
  <c r="I38" i="2"/>
  <c r="K38" i="2" s="1"/>
  <c r="L38" i="2" s="1"/>
  <c r="I66" i="2"/>
  <c r="K66" i="2" s="1"/>
  <c r="L66" i="2" s="1"/>
  <c r="F135" i="2"/>
  <c r="O69" i="2"/>
  <c r="O61" i="2"/>
  <c r="O53" i="2"/>
  <c r="G69" i="2"/>
  <c r="I69" i="2" s="1"/>
  <c r="K69" i="2" s="1"/>
  <c r="L69" i="2" s="1"/>
  <c r="I89" i="2"/>
  <c r="K89" i="2" s="1"/>
  <c r="L89" i="2" s="1"/>
  <c r="I73" i="2"/>
  <c r="K73" i="2" s="1"/>
  <c r="L73" i="2" s="1"/>
  <c r="I65" i="2"/>
  <c r="K65" i="2" s="1"/>
  <c r="L65" i="2" s="1"/>
  <c r="O52" i="2"/>
  <c r="M133" i="2"/>
  <c r="X61" i="2" s="1"/>
  <c r="AB69" i="2"/>
  <c r="O66" i="2"/>
  <c r="O89" i="2"/>
  <c r="O73" i="2"/>
  <c r="O65" i="2"/>
  <c r="O112" i="2"/>
  <c r="F136" i="2"/>
  <c r="F133" i="2"/>
  <c r="M135" i="2"/>
  <c r="M136" i="2"/>
  <c r="I4" i="2"/>
  <c r="K4" i="2" s="1"/>
  <c r="L4" i="2" s="1"/>
  <c r="O45" i="2"/>
  <c r="O136" i="2" s="1"/>
  <c r="G2" i="2"/>
  <c r="I21" i="2"/>
  <c r="K21" i="2" s="1"/>
  <c r="L21" i="2" s="1"/>
  <c r="I22" i="2"/>
  <c r="K22" i="2" s="1"/>
  <c r="L22" i="2" s="1"/>
  <c r="I3" i="2"/>
  <c r="K3" i="2" s="1"/>
  <c r="L3" i="2" s="1"/>
  <c r="AA33" i="2"/>
  <c r="AA7" i="2"/>
  <c r="AA12" i="2"/>
  <c r="AB4" i="2"/>
  <c r="AA23" i="2"/>
  <c r="N25" i="2"/>
  <c r="N133" i="2" s="1"/>
  <c r="Y78" i="2" s="1"/>
  <c r="G47" i="2"/>
  <c r="AA50" i="2"/>
  <c r="AA8" i="2"/>
  <c r="AA4" i="2"/>
  <c r="G35" i="2"/>
  <c r="I35" i="2" s="1"/>
  <c r="K35" i="2" s="1"/>
  <c r="L35" i="2" s="1"/>
  <c r="G136" i="2" l="1"/>
  <c r="O135" i="2"/>
  <c r="O133" i="2"/>
  <c r="Z108" i="2" s="1"/>
  <c r="Y73" i="2"/>
  <c r="G135" i="2"/>
  <c r="Y52" i="2"/>
  <c r="Y61" i="2"/>
  <c r="Y66" i="2"/>
  <c r="X69" i="2"/>
  <c r="Y65" i="2"/>
  <c r="Y112" i="2"/>
  <c r="X71" i="2"/>
  <c r="X79" i="2"/>
  <c r="X87" i="2"/>
  <c r="X95" i="2"/>
  <c r="X103" i="2"/>
  <c r="X111" i="2"/>
  <c r="X119" i="2"/>
  <c r="X58" i="2"/>
  <c r="X66" i="2"/>
  <c r="X72" i="2"/>
  <c r="X80" i="2"/>
  <c r="X88" i="2"/>
  <c r="X96" i="2"/>
  <c r="X104" i="2"/>
  <c r="X112" i="2"/>
  <c r="X120" i="2"/>
  <c r="X59" i="2"/>
  <c r="X51" i="2"/>
  <c r="X86" i="2"/>
  <c r="X57" i="2"/>
  <c r="X73" i="2"/>
  <c r="X81" i="2"/>
  <c r="X89" i="2"/>
  <c r="X97" i="2"/>
  <c r="X105" i="2"/>
  <c r="X113" i="2"/>
  <c r="X52" i="2"/>
  <c r="X60" i="2"/>
  <c r="X74" i="2"/>
  <c r="X82" i="2"/>
  <c r="X90" i="2"/>
  <c r="X98" i="2"/>
  <c r="X106" i="2"/>
  <c r="X114" i="2"/>
  <c r="X53" i="2"/>
  <c r="X94" i="2"/>
  <c r="X110" i="2"/>
  <c r="X67" i="2"/>
  <c r="X75" i="2"/>
  <c r="X83" i="2"/>
  <c r="X91" i="2"/>
  <c r="X99" i="2"/>
  <c r="X107" i="2"/>
  <c r="X115" i="2"/>
  <c r="X54" i="2"/>
  <c r="X62" i="2"/>
  <c r="X118" i="2"/>
  <c r="X68" i="2"/>
  <c r="X76" i="2"/>
  <c r="X84" i="2"/>
  <c r="X92" i="2"/>
  <c r="X100" i="2"/>
  <c r="X108" i="2"/>
  <c r="X116" i="2"/>
  <c r="X55" i="2"/>
  <c r="X63" i="2"/>
  <c r="X78" i="2"/>
  <c r="X77" i="2"/>
  <c r="X85" i="2"/>
  <c r="X93" i="2"/>
  <c r="X101" i="2"/>
  <c r="X109" i="2"/>
  <c r="X117" i="2"/>
  <c r="X56" i="2"/>
  <c r="X64" i="2"/>
  <c r="X70" i="2"/>
  <c r="X102" i="2"/>
  <c r="X65" i="2"/>
  <c r="Y77" i="2"/>
  <c r="Y85" i="2"/>
  <c r="Y93" i="2"/>
  <c r="Y101" i="2"/>
  <c r="Y109" i="2"/>
  <c r="Y117" i="2"/>
  <c r="Y56" i="2"/>
  <c r="Y64" i="2"/>
  <c r="Y72" i="2"/>
  <c r="Y86" i="2"/>
  <c r="Y94" i="2"/>
  <c r="Y102" i="2"/>
  <c r="Y110" i="2"/>
  <c r="Y118" i="2"/>
  <c r="Y57" i="2"/>
  <c r="Y92" i="2"/>
  <c r="Y116" i="2"/>
  <c r="Y79" i="2"/>
  <c r="Y87" i="2"/>
  <c r="Y95" i="2"/>
  <c r="Y103" i="2"/>
  <c r="Y111" i="2"/>
  <c r="Y119" i="2"/>
  <c r="Y58" i="2"/>
  <c r="Y51" i="2"/>
  <c r="Y80" i="2"/>
  <c r="Y88" i="2"/>
  <c r="Y96" i="2"/>
  <c r="Y104" i="2"/>
  <c r="Y120" i="2"/>
  <c r="Y59" i="2"/>
  <c r="Y67" i="2"/>
  <c r="Y38" i="2"/>
  <c r="Y100" i="2"/>
  <c r="Y71" i="2"/>
  <c r="Y81" i="2"/>
  <c r="Y97" i="2"/>
  <c r="Y105" i="2"/>
  <c r="Y113" i="2"/>
  <c r="Y60" i="2"/>
  <c r="Y68" i="2"/>
  <c r="Y76" i="2"/>
  <c r="Y63" i="2"/>
  <c r="Y74" i="2"/>
  <c r="Y82" i="2"/>
  <c r="Y90" i="2"/>
  <c r="Y98" i="2"/>
  <c r="Y106" i="2"/>
  <c r="Y114" i="2"/>
  <c r="Y69" i="2"/>
  <c r="Y84" i="2"/>
  <c r="Y55" i="2"/>
  <c r="Y75" i="2"/>
  <c r="Y83" i="2"/>
  <c r="Y91" i="2"/>
  <c r="Y99" i="2"/>
  <c r="Y107" i="2"/>
  <c r="Y115" i="2"/>
  <c r="Y54" i="2"/>
  <c r="Y62" i="2"/>
  <c r="Y70" i="2"/>
  <c r="Y108" i="2"/>
  <c r="Y89" i="2"/>
  <c r="Y53" i="2"/>
  <c r="N135" i="2"/>
  <c r="N136" i="2"/>
  <c r="G133" i="2"/>
  <c r="X38" i="2"/>
  <c r="X4" i="2"/>
  <c r="K25" i="2"/>
  <c r="L25" i="2" s="1"/>
  <c r="I2" i="2"/>
  <c r="X3" i="2"/>
  <c r="X15" i="2"/>
  <c r="X50" i="2"/>
  <c r="X20" i="2"/>
  <c r="X7" i="2"/>
  <c r="X41" i="2"/>
  <c r="X24" i="2"/>
  <c r="X8" i="2"/>
  <c r="X34" i="2"/>
  <c r="X17" i="2"/>
  <c r="X25" i="2"/>
  <c r="I47" i="2"/>
  <c r="X33" i="2"/>
  <c r="X2" i="2"/>
  <c r="X48" i="2"/>
  <c r="X14" i="2"/>
  <c r="X5" i="2"/>
  <c r="X45" i="2"/>
  <c r="X39" i="2"/>
  <c r="X46" i="2"/>
  <c r="X21" i="2"/>
  <c r="X44" i="2"/>
  <c r="X28" i="2"/>
  <c r="X13" i="2"/>
  <c r="X30" i="2"/>
  <c r="X43" i="2"/>
  <c r="X29" i="2"/>
  <c r="X16" i="2"/>
  <c r="X36" i="2"/>
  <c r="X9" i="2"/>
  <c r="X32" i="2"/>
  <c r="X11" i="2"/>
  <c r="X12" i="2"/>
  <c r="X40" i="2"/>
  <c r="X10" i="2"/>
  <c r="X47" i="2"/>
  <c r="X42" i="2"/>
  <c r="X6" i="2"/>
  <c r="X37" i="2"/>
  <c r="X49" i="2"/>
  <c r="X26" i="2"/>
  <c r="X22" i="2"/>
  <c r="X35" i="2"/>
  <c r="X19" i="2"/>
  <c r="X27" i="2"/>
  <c r="X31" i="2"/>
  <c r="X18" i="2"/>
  <c r="X23" i="2"/>
  <c r="AA25" i="2"/>
  <c r="K47" i="2" l="1"/>
  <c r="L47" i="2" s="1"/>
  <c r="Z73" i="2"/>
  <c r="Z119" i="2"/>
  <c r="Z114" i="2"/>
  <c r="Z82" i="2"/>
  <c r="Z69" i="2"/>
  <c r="Z67" i="2"/>
  <c r="Z65" i="2"/>
  <c r="Z53" i="2"/>
  <c r="Z91" i="2"/>
  <c r="Z86" i="2"/>
  <c r="Z75" i="2"/>
  <c r="Z63" i="2"/>
  <c r="Z102" i="2"/>
  <c r="Z105" i="2"/>
  <c r="Z72" i="2"/>
  <c r="Z112" i="2"/>
  <c r="Z56" i="2"/>
  <c r="Z83" i="2"/>
  <c r="Z92" i="2"/>
  <c r="Z99" i="2"/>
  <c r="Z106" i="2"/>
  <c r="Z84" i="2"/>
  <c r="Z74" i="2"/>
  <c r="Z60" i="2"/>
  <c r="Z23" i="2"/>
  <c r="Z61" i="2"/>
  <c r="Z81" i="2"/>
  <c r="Z55" i="2"/>
  <c r="Z62" i="2"/>
  <c r="Z117" i="2"/>
  <c r="Z52" i="2"/>
  <c r="Z118" i="2"/>
  <c r="Z96" i="2"/>
  <c r="Z51" i="2"/>
  <c r="Z116" i="2"/>
  <c r="Z76" i="2"/>
  <c r="Z94" i="2"/>
  <c r="Z110" i="2"/>
  <c r="Z93" i="2"/>
  <c r="Z66" i="2"/>
  <c r="Z113" i="2"/>
  <c r="Z54" i="2"/>
  <c r="Z111" i="2"/>
  <c r="Z85" i="2"/>
  <c r="Z104" i="2"/>
  <c r="Z88" i="2"/>
  <c r="Z115" i="2"/>
  <c r="Z64" i="2"/>
  <c r="Z68" i="2"/>
  <c r="Z79" i="2"/>
  <c r="Z87" i="2"/>
  <c r="Z109" i="2"/>
  <c r="Z39" i="2"/>
  <c r="Z89" i="2"/>
  <c r="Z100" i="2"/>
  <c r="Z97" i="2"/>
  <c r="Z103" i="2"/>
  <c r="Z120" i="2"/>
  <c r="Z78" i="2"/>
  <c r="Z80" i="2"/>
  <c r="Z98" i="2"/>
  <c r="Z107" i="2"/>
  <c r="Z95" i="2"/>
  <c r="Z38" i="2"/>
  <c r="Z58" i="2"/>
  <c r="Z70" i="2"/>
  <c r="Z77" i="2"/>
  <c r="Z57" i="2"/>
  <c r="Z90" i="2"/>
  <c r="Z59" i="2"/>
  <c r="Z71" i="2"/>
  <c r="Z101" i="2"/>
  <c r="I133" i="2"/>
  <c r="AA135" i="2"/>
  <c r="AA136" i="2"/>
  <c r="I136" i="2"/>
  <c r="I135" i="2"/>
  <c r="M137" i="2"/>
  <c r="X133" i="2"/>
  <c r="Z32" i="2"/>
  <c r="Z9" i="2"/>
  <c r="Z4" i="2"/>
  <c r="Z49" i="2"/>
  <c r="Z2" i="2"/>
  <c r="Z6" i="2"/>
  <c r="Z16" i="2"/>
  <c r="Z43" i="2"/>
  <c r="Z42" i="2"/>
  <c r="Z26" i="2"/>
  <c r="Z5" i="2"/>
  <c r="Z33" i="2"/>
  <c r="Z31" i="2"/>
  <c r="Z7" i="2"/>
  <c r="Z46" i="2"/>
  <c r="Z50" i="2"/>
  <c r="Z10" i="2"/>
  <c r="Z47" i="2"/>
  <c r="Z25" i="2"/>
  <c r="Z15" i="2"/>
  <c r="Z3" i="2"/>
  <c r="Z17" i="2"/>
  <c r="Z30" i="2"/>
  <c r="Z13" i="2"/>
  <c r="Z36" i="2"/>
  <c r="Z37" i="2"/>
  <c r="Z20" i="2"/>
  <c r="Z14" i="2"/>
  <c r="Z24" i="2"/>
  <c r="Z44" i="2"/>
  <c r="Z8" i="2"/>
  <c r="Z27" i="2"/>
  <c r="Z19" i="2"/>
  <c r="Z18" i="2"/>
  <c r="Z40" i="2"/>
  <c r="Z28" i="2"/>
  <c r="Z21" i="2"/>
  <c r="Z11" i="2"/>
  <c r="Z41" i="2"/>
  <c r="Z34" i="2"/>
  <c r="Z48" i="2"/>
  <c r="Z12" i="2"/>
  <c r="Z29" i="2"/>
  <c r="Z35" i="2"/>
  <c r="Z22" i="2"/>
  <c r="Z45" i="2"/>
  <c r="K2" i="2"/>
  <c r="Y39" i="2"/>
  <c r="Y40" i="2"/>
  <c r="Y18" i="2"/>
  <c r="Y5" i="2"/>
  <c r="Y44" i="2"/>
  <c r="Y10" i="2"/>
  <c r="Y31" i="2"/>
  <c r="Y14" i="2"/>
  <c r="Y21" i="2"/>
  <c r="Y28" i="2"/>
  <c r="Y8" i="2"/>
  <c r="Y4" i="2"/>
  <c r="Y32" i="2"/>
  <c r="Y43" i="2"/>
  <c r="Y12" i="2"/>
  <c r="Y35" i="2"/>
  <c r="Y48" i="2"/>
  <c r="Y9" i="2"/>
  <c r="Y30" i="2"/>
  <c r="Y16" i="2"/>
  <c r="Y47" i="2"/>
  <c r="Y24" i="2"/>
  <c r="Y22" i="2"/>
  <c r="Y36" i="2"/>
  <c r="Y23" i="2"/>
  <c r="Y46" i="2"/>
  <c r="Y19" i="2"/>
  <c r="Y26" i="2"/>
  <c r="Y34" i="2"/>
  <c r="Y2" i="2"/>
  <c r="Y15" i="2"/>
  <c r="Y49" i="2"/>
  <c r="Y6" i="2"/>
  <c r="Y25" i="2"/>
  <c r="Y17" i="2"/>
  <c r="Y11" i="2"/>
  <c r="Y27" i="2"/>
  <c r="Y13" i="2"/>
  <c r="Y29" i="2"/>
  <c r="Y50" i="2"/>
  <c r="Y41" i="2"/>
  <c r="Y3" i="2"/>
  <c r="Y37" i="2"/>
  <c r="Y20" i="2"/>
  <c r="Y7" i="2"/>
  <c r="Y33" i="2"/>
  <c r="Y45" i="2"/>
  <c r="Y42" i="2"/>
  <c r="K135" i="2" l="1"/>
  <c r="H137" i="2"/>
  <c r="K133" i="2"/>
  <c r="K136" i="2"/>
  <c r="N137" i="2"/>
  <c r="Y133" i="2"/>
  <c r="G137" i="2"/>
  <c r="K137" i="2"/>
  <c r="F137" i="2"/>
  <c r="O137" i="2"/>
  <c r="Z133" i="2"/>
  <c r="I137" i="2"/>
  <c r="AA137" i="2"/>
  <c r="L2" i="2"/>
  <c r="L137" i="2" s="1"/>
  <c r="L135" i="2" l="1"/>
  <c r="L136" i="2"/>
</calcChain>
</file>

<file path=xl/sharedStrings.xml><?xml version="1.0" encoding="utf-8"?>
<sst xmlns="http://schemas.openxmlformats.org/spreadsheetml/2006/main" count="394" uniqueCount="153">
  <si>
    <t>Client Name</t>
  </si>
  <si>
    <t>Cover Type</t>
  </si>
  <si>
    <t>Intermediary</t>
  </si>
  <si>
    <t>Basic Premium</t>
  </si>
  <si>
    <t>5% CBHI</t>
  </si>
  <si>
    <t>Admin fees</t>
  </si>
  <si>
    <t>Fund Amount</t>
  </si>
  <si>
    <t>Total Premium</t>
  </si>
  <si>
    <t>Average Premium per Principal Member</t>
  </si>
  <si>
    <t>No. of Principal Member</t>
  </si>
  <si>
    <t>Dependents</t>
  </si>
  <si>
    <t>Total lives</t>
  </si>
  <si>
    <t>START DATE</t>
  </si>
  <si>
    <t>Start Date Year</t>
  </si>
  <si>
    <t>Start Date Month</t>
  </si>
  <si>
    <t>Start Date Day</t>
  </si>
  <si>
    <t>END DATE</t>
  </si>
  <si>
    <t>End Date Year</t>
  </si>
  <si>
    <t>End Date Month</t>
  </si>
  <si>
    <t>End Date Day</t>
  </si>
  <si>
    <t>Weight by Staff</t>
  </si>
  <si>
    <t>Weight by Dependents</t>
  </si>
  <si>
    <t>Weight by Total Lives</t>
  </si>
  <si>
    <t>Average Number of Dependents per Employee</t>
  </si>
  <si>
    <t>Client Segment</t>
  </si>
  <si>
    <t>CHANCEN INTERNATIONAL RWANDA</t>
  </si>
  <si>
    <t>Insured</t>
  </si>
  <si>
    <t>Direct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</si>
  <si>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</si>
  <si>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</si>
  <si>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</si>
  <si>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</si>
  <si>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</si>
  <si>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</si>
  <si>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</si>
  <si>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</si>
  <si>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</si>
  <si>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RUTINDUKANAMUREGO ROGER MARC</t>
  </si>
  <si>
    <t>NIYONSHUTI LAMBERT</t>
  </si>
  <si>
    <t>RWANDA BANKERS ASSOCIATION</t>
  </si>
  <si>
    <t>Three Stones International Rwanda Ltd</t>
  </si>
  <si>
    <t>FONDATION PAUL GERIN-LAJOIE</t>
  </si>
  <si>
    <t>YLABS STUDIO LTD</t>
  </si>
  <si>
    <t xml:space="preserve">KFW </t>
  </si>
  <si>
    <t>BAZIRA JEAN LEON HERTIER</t>
  </si>
  <si>
    <t>ICDL AFRICA LTD</t>
  </si>
  <si>
    <t>AFRICAN LEADERSHIP UNIVERSITY LTD</t>
  </si>
  <si>
    <t>ISHUSHO Limited</t>
  </si>
  <si>
    <t>EDPU AFRICA Limited</t>
  </si>
  <si>
    <t>BALLISTIC BURGERS LTD</t>
  </si>
  <si>
    <t>TEK EXPERTS RWANDA LTD</t>
  </si>
  <si>
    <t>COMZAFRICA RWANDA LIMITED</t>
  </si>
  <si>
    <t>MARIUS KAMUGISHA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</si>
  <si>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</si>
  <si>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</si>
  <si>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</si>
  <si>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</si>
  <si>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</si>
  <si>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</si>
  <si>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ACME TECHNOLOGIES LTD</t>
  </si>
  <si>
    <t>RON WEISS</t>
  </si>
  <si>
    <t>STRADH Ltd - B</t>
  </si>
  <si>
    <t>NIYITANGA KWIZERA SYLVIE</t>
  </si>
  <si>
    <t>COMMUNITY BASED SOCIOTHERAPY</t>
  </si>
  <si>
    <t>PLASTIC SURGERY AND BEAUTY CLINICS</t>
  </si>
  <si>
    <t>PROSPER NSENGIYUMVA</t>
  </si>
  <si>
    <t>AURA ENTERPRISES LTD</t>
  </si>
  <si>
    <t>AXIOM NETWORKS LTD</t>
  </si>
  <si>
    <t>JOSUE IBULUNGU</t>
  </si>
  <si>
    <t>UMUGISHA KWIZERA LILIOSE</t>
  </si>
  <si>
    <t>PRIME BIODIVERSITY CONSERVATION</t>
  </si>
  <si>
    <t>UWABEZA FAUSTA</t>
  </si>
  <si>
    <t>ESPARTNERS</t>
  </si>
  <si>
    <t>UNLOCK IMPACT Ltd</t>
  </si>
  <si>
    <t>KIVU CHOICE LTD-FUND</t>
  </si>
  <si>
    <t>MIGHTY ENGINEERING</t>
  </si>
  <si>
    <t>OPENFIELD RWANDA Limited</t>
  </si>
  <si>
    <t>CHALLENGES RWANDA</t>
  </si>
  <si>
    <t>Total</t>
  </si>
  <si>
    <t>Average</t>
  </si>
  <si>
    <t>Median</t>
  </si>
  <si>
    <t>Weighted Average</t>
  </si>
  <si>
    <t>Number of Employees</t>
  </si>
  <si>
    <t>Client Category</t>
  </si>
  <si>
    <t>Whales</t>
  </si>
  <si>
    <t>Elephants</t>
  </si>
  <si>
    <t>Tigers</t>
  </si>
  <si>
    <t>Hares</t>
  </si>
  <si>
    <t>HIRWA MICHAEL DYLAN</t>
  </si>
  <si>
    <t>WIREDIN LTD</t>
  </si>
  <si>
    <t>NORWEGIAN PEOPLE'S AID</t>
  </si>
  <si>
    <t xml:space="preserve">MUA </t>
  </si>
  <si>
    <t>MBAKUYE GESY BECKET</t>
  </si>
  <si>
    <t>IST- AFRICA Limited</t>
  </si>
  <si>
    <t>RWANDA INSTITUTE OF COOPERATIVES, ENTREPRENEURSHIP AND MICROFINANCE (RICEM</t>
  </si>
  <si>
    <t>KABISA GO ELECTRIC</t>
  </si>
  <si>
    <t>Deriv (RW) Ltd</t>
  </si>
  <si>
    <t>ISHIMWE SHANICE</t>
  </si>
  <si>
    <t>UMUHOZA IKIREZI ANGE DIVINE</t>
  </si>
  <si>
    <t>iHELP Ltd</t>
  </si>
  <si>
    <t>KIGALI CONVENTION CENTER LTD</t>
  </si>
  <si>
    <t>EDUCATE</t>
  </si>
  <si>
    <t>AFRICA MOBILITY SOLUTIONS RWANDA LTD</t>
  </si>
  <si>
    <t xml:space="preserve">CZ RWANDA LTD </t>
  </si>
  <si>
    <t>GAGA AUTO SPARE PARTS LTD</t>
  </si>
  <si>
    <t>TLC SPACE</t>
  </si>
  <si>
    <t>MUNYANGEYO MUCINYA LANDRY</t>
  </si>
  <si>
    <t>JIBU CORPORATE RWANDA LTD</t>
  </si>
  <si>
    <t>MUNYEMANA SULTAN ERIC</t>
  </si>
  <si>
    <t>TINOTENDA KAHONDE</t>
  </si>
  <si>
    <t>SOLID’ AFRICA</t>
  </si>
  <si>
    <t>HENCE TECHNOLOGIES RWANDA LTD</t>
  </si>
  <si>
    <t>LOLC UNGUKA FINANCE</t>
  </si>
  <si>
    <t>Norsken Pool P(Ndegeya Cyrile)</t>
  </si>
  <si>
    <t>ROMALO LTD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</si>
  <si>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</si>
  <si>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</si>
  <si>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</si>
  <si>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</si>
  <si>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</si>
  <si>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</si>
  <si>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</si>
  <si>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</si>
  <si>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</si>
  <si>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</si>
  <si>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</si>
  <si>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Norsken pool V (NDOLI AIME PATRICK)</t>
  </si>
  <si>
    <t>PANGEA GROUP LTD</t>
  </si>
  <si>
    <t>SHREE COM LTD</t>
  </si>
  <si>
    <t>NORSKEN POOL Y(UWIMANA UMMY)</t>
  </si>
  <si>
    <t>RWANDA TRADING COMPANY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</si>
  <si>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</si>
  <si>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</si>
  <si>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</si>
  <si>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</si>
  <si>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</si>
  <si>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</si>
  <si>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</si>
  <si>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</si>
  <si>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</si>
  <si>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UWERA JACQUELINE</t>
  </si>
  <si>
    <t>NSABIMANA CHRISTIAN</t>
  </si>
  <si>
    <t>THREE STONES INTERNATIONAL RWANDA</t>
  </si>
  <si>
    <t>CCI RWANDA</t>
  </si>
  <si>
    <t>MVEND LIMITED</t>
  </si>
  <si>
    <t>GAHIZI CHISTELLE</t>
  </si>
  <si>
    <t>JESSICA GASASIRA</t>
  </si>
  <si>
    <t>ICDL</t>
  </si>
  <si>
    <t>ITO EAST AFRICA LTD</t>
  </si>
  <si>
    <t>KIGALI DERMATOLOGY CENTER LTD</t>
  </si>
  <si>
    <t>REM LIMITED</t>
  </si>
  <si>
    <t>-</t>
  </si>
  <si>
    <t>Total InsuredPremium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</si>
</sst>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yyyy\-mm\-dd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&quot;Century Gothic&quot;"/>
    </font>
    <font>
      <sz val="11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4" fontId="3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1" applyNumberFormat="1" applyFont="1" applyFill="1" applyBorder="1"/>
    <xf numFmtId="165" fontId="4" fillId="0" borderId="1" xfId="0" applyNumberFormat="1" applyFont="1" applyBorder="1"/>
    <xf numFmtId="1" fontId="4" fillId="0" borderId="1" xfId="1" applyNumberFormat="1" applyFont="1" applyBorder="1"/>
    <xf numFmtId="10" fontId="0" fillId="0" borderId="1" xfId="2" applyNumberFormat="1" applyFont="1" applyFill="1" applyBorder="1" applyAlignment="1">
      <alignment wrapText="1"/>
    </xf>
    <xf numFmtId="10" fontId="0" fillId="0" borderId="1" xfId="2" applyNumberFormat="1" applyFont="1" applyFill="1" applyBorder="1"/>
    <xf numFmtId="2" fontId="4" fillId="0" borderId="5" xfId="0" applyNumberFormat="1" applyFont="1" applyBorder="1"/>
    <xf numFmtId="0" fontId="4" fillId="0" borderId="0" xfId="0" applyFont="1"/>
    <xf numFmtId="0" fontId="4" fillId="0" borderId="6" xfId="0" applyFont="1" applyBorder="1"/>
    <xf numFmtId="10" fontId="0" fillId="0" borderId="6" xfId="2" applyNumberFormat="1" applyFont="1" applyFill="1" applyBorder="1" applyAlignment="1">
      <alignment wrapText="1"/>
    </xf>
    <xf numFmtId="2" fontId="4" fillId="0" borderId="7" xfId="0" applyNumberFormat="1" applyFont="1" applyBorder="1"/>
    <xf numFmtId="0" fontId="4" fillId="0" borderId="1" xfId="1" applyNumberFormat="1" applyFont="1" applyFill="1" applyBorder="1"/>
    <xf numFmtId="164" fontId="4" fillId="0" borderId="6" xfId="1" applyNumberFormat="1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0" applyNumberFormat="1" applyAlignment="1">
      <alignment wrapText="1"/>
    </xf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43" fontId="0" fillId="0" borderId="0" xfId="1" applyFont="1"/>
    <xf numFmtId="0" fontId="2" fillId="0" borderId="0" xfId="0" applyFont="1"/>
    <xf numFmtId="0" fontId="4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4" fontId="4" fillId="0" borderId="9" xfId="0" applyNumberFormat="1" applyFont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166" fontId="4" fillId="0" borderId="9" xfId="0" applyNumberFormat="1" applyFont="1" applyBorder="1"/>
    <xf numFmtId="166" fontId="5" fillId="0" borderId="11" xfId="0" applyNumberFormat="1" applyFont="1" applyBorder="1" applyAlignment="1">
      <alignment horizontal="right"/>
    </xf>
    <xf numFmtId="166" fontId="5" fillId="0" borderId="12" xfId="0" applyNumberFormat="1" applyFont="1" applyBorder="1" applyAlignment="1">
      <alignment horizontal="right"/>
    </xf>
    <xf numFmtId="14" fontId="4" fillId="0" borderId="9" xfId="0" applyNumberFormat="1" applyFont="1" applyBorder="1"/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10" fontId="0" fillId="0" borderId="1" xfId="2" applyNumberFormat="1" applyFont="1" applyBorder="1" applyAlignment="1">
      <alignment wrapText="1"/>
    </xf>
    <xf numFmtId="14" fontId="4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0" fontId="4" fillId="0" borderId="8" xfId="0" applyFont="1" applyBorder="1"/>
    <xf numFmtId="0" fontId="4" fillId="0" borderId="1" xfId="1" applyNumberFormat="1" applyFont="1" applyBorder="1"/>
    <xf numFmtId="0" fontId="0" fillId="0" borderId="0" xfId="0" applyNumberForma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3" fillId="0" borderId="3" xfId="1" applyNumberFormat="1" applyFont="1" applyFill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1" xfId="0" applyFont="1" applyBorder="1"/>
    <xf numFmtId="0" fontId="6" fillId="0" borderId="12" xfId="0" applyFont="1" applyBorder="1"/>
  </cellXfs>
  <cellStyles count="3">
    <cellStyle name="Comma" xfId="1" builtinId="3"/>
    <cellStyle name="Normal" xfId="0" builtinId="0"/>
    <cellStyle name="Percent" xfId="2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26D0D-D069-4D10-969A-6B7D4950BD6E}" name="Table1" displayName="Table1" ref="C1:AB50" totalsRowShown="0" headerRowDxfId="54" dataDxfId="52" headerRowBorderDxfId="53" tableBorderDxfId="51" totalsRowBorderDxfId="50">
  <autoFilter ref="C1:AB50" xr:uid="{C26A849F-5F1B-DC41-B15F-323B0F1FDE77}"/>
  <sortState xmlns:xlrd2="http://schemas.microsoft.com/office/spreadsheetml/2017/richdata2" ref="C2:AB50">
    <sortCondition ref="D1:D50"/>
  </sortState>
  <tableColumns count="26">
    <tableColumn id="1" xr3:uid="{4FDF947B-DECD-4318-965A-9F7D93151373}" name="Client Name" dataDxfId="49" totalsRowDxfId="48"/>
    <tableColumn id="3" xr3:uid="{6D815216-6771-4BE1-B87B-A4EEC9141CF8}" name="Cover Type" dataDxfId="0" totalsRowDxfId="47"/>
    <tableColumn id="4" xr3:uid="{22837770-3A6F-4D57-858D-8BED84A3009E}" name="Intermediary" dataDxfId="46" totalsRowDxfId="45"/>
    <tableColumn id="5" xr3:uid="{C1932A17-188F-4DBD-952C-684185F9D6C8}" name="Basic Premium" dataDxfId="44" totalsRowDxfId="43" dataCellStyle="Comma"/>
    <tableColumn id="6" xr3:uid="{F9CA5489-A673-4FF0-868B-C96C30A80296}" name="5% CBHI" dataDxfId="42" totalsRowDxfId="41" dataCellStyle="Comma">
      <calculatedColumnFormula>F2*5%</calculatedColumnFormula>
    </tableColumn>
    <tableColumn id="7" xr3:uid="{E7140D8C-0AB2-4BD9-A161-5CB0ADC20082}" name="Admin fees" dataDxfId="40" totalsRowDxfId="39" dataCellStyle="Comma"/>
    <tableColumn id="8" xr3:uid="{11C2E036-7B27-4B6E-B1DE-6E848FE6FC23}" name="Total InsuredPremium" dataDxfId="38" totalsRowDxfId="37" dataCellStyle="Comma">
      <calculatedColumnFormula>SUM(F2:H2)</calculatedColumnFormula>
    </tableColumn>
    <tableColumn id="9" xr3:uid="{79A13BCB-A6BE-448D-9EFE-766C8288DF62}" name="Fund Amount" dataDxfId="36" totalsRowDxfId="35" dataCellStyle="Comma"/>
    <tableColumn id="10" xr3:uid="{E1CA6937-FDB4-4017-B1D8-AD0B6963081C}" name="Total Premium" dataDxfId="34" totalsRowDxfId="33" dataCellStyle="Comma">
      <calculatedColumnFormula>SUM(I2:J2)</calculatedColumnFormula>
    </tableColumn>
    <tableColumn id="11" xr3:uid="{A2B44969-06BD-467D-B1B9-DF1783A985FE}" name="Average Premium per Principal Member" dataDxfId="32" totalsRowDxfId="31" dataCellStyle="Comma">
      <calculatedColumnFormula>K2/M2</calculatedColumnFormula>
    </tableColumn>
    <tableColumn id="12" xr3:uid="{C7849FF6-CA2C-42A2-BEB7-068039493A9F}" name="No. of Principal Member" dataDxfId="30" totalsRowDxfId="29"/>
    <tableColumn id="13" xr3:uid="{E9FFAA4C-DBA2-406C-957A-6FD4B25DD21F}" name="Dependents" dataDxfId="28" totalsRowDxfId="27"/>
    <tableColumn id="14" xr3:uid="{8C6B0FB9-9D2F-4853-9F1F-BDB4D7E126C0}" name="Total lives" dataDxfId="26" totalsRowDxfId="25"/>
    <tableColumn id="15" xr3:uid="{EF908EE7-319B-45EE-BD95-A39A0D2CB978}" name="START DATE" dataDxfId="24" totalsRowDxfId="23"/>
    <tableColumn id="23" xr3:uid="{395D961C-EEA7-4C89-A60D-84688AA190E8}" name="Start Date Year" dataDxfId="22">
      <calculatedColumnFormula>YEAR(P2)</calculatedColumnFormula>
    </tableColumn>
    <tableColumn id="22" xr3:uid="{742913A1-AE0F-41FE-85A9-8E8FC3426A25}" name="Start Date Month" dataDxfId="21">
      <calculatedColumnFormula>TEXT(P2, "mmmm")</calculatedColumnFormula>
    </tableColumn>
    <tableColumn id="2" xr3:uid="{795C2C4C-F44F-4F43-A354-A92E2AE0209E}" name="Start Date Day" dataDxfId="20" totalsRowDxfId="19">
      <calculatedColumnFormula>DAY(P2)</calculatedColumnFormula>
    </tableColumn>
    <tableColumn id="16" xr3:uid="{534F4F44-9F30-4135-A86F-0C879A712709}" name="END DATE" dataDxfId="18" totalsRowDxfId="17"/>
    <tableColumn id="26" xr3:uid="{7DC56826-837A-4267-930F-1F7EAB4286A1}" name="End Date Year" dataDxfId="16" totalsRowDxfId="15">
      <calculatedColumnFormula>YEAR(T2)</calculatedColumnFormula>
    </tableColumn>
    <tableColumn id="25" xr3:uid="{A49042B7-C455-4042-96D4-BBB2C012D8F7}" name="End Date Month" dataDxfId="14" totalsRowDxfId="13">
      <calculatedColumnFormula>TEXT(T2, "mmmm")</calculatedColumnFormula>
    </tableColumn>
    <tableColumn id="24" xr3:uid="{0B92A0BF-57BF-4474-A6F8-DB0653A2EEF0}" name="End Date Day" dataDxfId="12" totalsRowDxfId="11">
      <calculatedColumnFormula>DAY(T2)</calculatedColumnFormula>
    </tableColumn>
    <tableColumn id="17" xr3:uid="{94A25266-73D3-48F3-A2BA-8EF512CE04E7}" name="Weight by Staff" dataDxfId="10" totalsRowDxfId="9">
      <calculatedColumnFormula>M2/$M$133</calculatedColumnFormula>
    </tableColumn>
    <tableColumn id="18" xr3:uid="{A342983B-55C8-40EC-AB4C-92D53DE4BF6E}" name="Weight by Dependents" dataDxfId="8" totalsRowDxfId="7">
      <calculatedColumnFormula>N2/$N$133</calculatedColumnFormula>
    </tableColumn>
    <tableColumn id="19" xr3:uid="{FBCD207F-7274-4145-B0FA-512F0FEF6A6E}" name="Weight by Total Lives" dataDxfId="6" totalsRowDxfId="5">
      <calculatedColumnFormula>O2/$O$133</calculatedColumnFormula>
    </tableColumn>
    <tableColumn id="20" xr3:uid="{980DE4AC-C4E5-4B2F-89CF-A511C137E454}" name="Average Number of Dependents per Employee" dataDxfId="4" totalsRowDxfId="3">
      <calculatedColumnFormula>N2/M2</calculatedColumnFormula>
    </tableColumn>
    <tableColumn id="21" xr3:uid="{55AF4DCF-89D1-4836-B7BA-B415F12C6A81}" name="Client Segment" dataDxfId="2" totalsRowDxfId="1">
      <calculatedColumnFormula>_xlfn.XLOOKUP(M2, $A$114:$A$117, $B$114:$B$117, , 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BB44-19A1-4EE7-8D79-E0A854F2D750}">
  <dimension ref="A1:AB138"/>
  <sheetViews>
    <sheetView tabSelected="1" topLeftCell="D1" workbookViewId="0">
      <pane ySplit="1" topLeftCell="A19" activePane="bottomLeft" state="frozen"/>
      <selection activeCell="R1" sqref="R1"/>
      <selection pane="bottomLeft" activeCell="D51" sqref="D51"/>
    </sheetView>
  </sheetViews>
  <sheetFormatPr defaultColWidth="7.7109375" defaultRowHeight="16.5"/>
  <cols>
    <col min="1" max="1" width="10.140625" bestFit="1" customWidth="1"/>
    <col min="3" max="3" width="26.5703125" customWidth="1"/>
    <col min="4" max="4" width="10.7109375" style="11" customWidth="1"/>
    <col min="5" max="5" width="13.140625" customWidth="1"/>
    <col min="6" max="6" width="12.5703125" customWidth="1"/>
    <col min="7" max="7" width="11.28515625" customWidth="1"/>
    <col min="8" max="8" width="9.42578125" customWidth="1"/>
    <col min="9" max="9" width="12.140625" customWidth="1"/>
    <col min="10" max="10" width="10.42578125" customWidth="1"/>
    <col min="11" max="11" width="13.42578125" customWidth="1"/>
    <col min="12" max="12" width="17" customWidth="1"/>
    <col min="13" max="13" width="9.28515625" customWidth="1"/>
    <col min="14" max="14" width="9.5703125" customWidth="1"/>
    <col min="15" max="15" width="10.5703125" customWidth="1"/>
    <col min="16" max="16" width="11.140625" customWidth="1"/>
    <col min="17" max="17" width="10.140625" style="47" customWidth="1"/>
    <col min="18" max="18" width="16" customWidth="1"/>
    <col min="19" max="19" width="15.7109375" customWidth="1"/>
    <col min="20" max="20" width="11.7109375" style="43" bestFit="1" customWidth="1"/>
    <col min="21" max="21" width="9.7109375" customWidth="1"/>
    <col min="22" max="22" width="12" customWidth="1"/>
    <col min="23" max="23" width="11.7109375" customWidth="1"/>
    <col min="24" max="24" width="9.85546875" style="17" customWidth="1"/>
    <col min="25" max="25" width="10.5703125" style="17" customWidth="1"/>
    <col min="26" max="26" width="13.140625" customWidth="1"/>
    <col min="27" max="27" width="39.42578125" customWidth="1"/>
    <col min="28" max="28" width="10" bestFit="1" customWidth="1"/>
  </cols>
  <sheetData>
    <row r="1" spans="3:28" s="53" customFormat="1" ht="71.25">
      <c r="C1" s="48" t="s">
        <v>0</v>
      </c>
      <c r="D1" s="49" t="s">
        <v>1</v>
      </c>
      <c r="E1" s="49" t="s">
        <v>2</v>
      </c>
      <c r="F1" s="49" t="s">
        <v>3</v>
      </c>
      <c r="G1" s="50" t="s">
        <v>4</v>
      </c>
      <c r="H1" s="49" t="s">
        <v>5</v>
      </c>
      <c r="I1" s="1" t="s">
        <v>152</v>
      </c>
      <c r="J1" s="1" t="s">
        <v>6</v>
      </c>
      <c r="K1" s="1" t="s">
        <v>7</v>
      </c>
      <c r="L1" s="1" t="s">
        <v>8</v>
      </c>
      <c r="M1" s="49" t="s">
        <v>9</v>
      </c>
      <c r="N1" s="49" t="s">
        <v>10</v>
      </c>
      <c r="O1" s="49" t="s">
        <v>11</v>
      </c>
      <c r="P1" s="49" t="s">
        <v>12</v>
      </c>
      <c r="Q1" s="51" t="s">
        <v>13</v>
      </c>
      <c r="R1" s="49" t="s">
        <v>14</v>
      </c>
      <c r="S1" s="49" t="s">
        <v>15</v>
      </c>
      <c r="T1" s="1" t="s">
        <v>16</v>
      </c>
      <c r="U1" s="49" t="s">
        <v>17</v>
      </c>
      <c r="V1" s="49" t="s">
        <v>18</v>
      </c>
      <c r="W1" s="49" t="s">
        <v>19</v>
      </c>
      <c r="X1" s="2" t="s">
        <v>20</v>
      </c>
      <c r="Y1" s="2" t="s">
        <v>21</v>
      </c>
      <c r="Z1" s="2" t="s">
        <v>22</v>
      </c>
      <c r="AA1" s="52" t="s">
        <v>23</v>
      </c>
      <c r="AB1" s="2" t="s">
        <v>24</v>
      </c>
    </row>
    <row r="2" spans="3:28" s="11" customFormat="1">
      <c r="C2" s="3" t="s">
        <v>32</v>
      </c>
      <c r="D2" s="3" t="s">
        <v>33</v>
      </c>
      <c r="E2" s="3" t="s">
        <v>27</v>
      </c>
      <c r="F2" s="4">
        <f>136125+1949127</f>
        <v>2085252</v>
      </c>
      <c r="G2" s="4">
        <f>F2*5%</f>
        <v>104262.6</v>
      </c>
      <c r="H2" s="4">
        <v>90000</v>
      </c>
      <c r="I2" s="5">
        <f>SUM(F2:H2)</f>
        <v>2279514.6</v>
      </c>
      <c r="J2" s="4">
        <f>288109+3687410</f>
        <v>3975519</v>
      </c>
      <c r="K2" s="5">
        <f>SUM(I2:J2)</f>
        <v>6255033.5999999996</v>
      </c>
      <c r="L2" s="5">
        <f>K2/M2</f>
        <v>390939.6</v>
      </c>
      <c r="M2" s="3">
        <v>16</v>
      </c>
      <c r="N2" s="3">
        <f>O2-M2</f>
        <v>2</v>
      </c>
      <c r="O2" s="3">
        <v>18</v>
      </c>
      <c r="P2" s="6">
        <v>45030</v>
      </c>
      <c r="Q2" s="46">
        <f>YEAR(P2)</f>
        <v>2023</v>
      </c>
      <c r="R2" s="4" t="str">
        <f>TEXT(P2, "mmmm")</f>
        <v>April</v>
      </c>
      <c r="S2" s="4">
        <f>DAY(P2)</f>
        <v>14</v>
      </c>
      <c r="T2" s="42">
        <v>45395</v>
      </c>
      <c r="U2" s="7">
        <f>YEAR(T2)</f>
        <v>2024</v>
      </c>
      <c r="V2" s="4" t="str">
        <f>TEXT(T2, "mmmm")</f>
        <v>April</v>
      </c>
      <c r="W2" s="4">
        <f>DAY(T2)</f>
        <v>13</v>
      </c>
      <c r="X2" s="8">
        <f>M2/$M$133</f>
        <v>4.0424456796361802E-3</v>
      </c>
      <c r="Y2" s="8">
        <f>N2/$N$133</f>
        <v>6.2015503875968996E-4</v>
      </c>
      <c r="Z2" s="9">
        <f>O2/$O$133</f>
        <v>2.6208503203261502E-3</v>
      </c>
      <c r="AA2" s="10">
        <f>N2/M2</f>
        <v>0.125</v>
      </c>
      <c r="AB2" s="11" t="str">
        <f>_xlfn.XLOOKUP(M2, $A$114:$A$117, $B$114:$B$117, , 1)</f>
        <v>Hares</v>
      </c>
    </row>
    <row r="3" spans="3:28" s="11" customFormat="1">
      <c r="C3" s="3" t="s">
        <v>36</v>
      </c>
      <c r="D3" s="3" t="s">
        <v>33</v>
      </c>
      <c r="E3" s="3" t="s">
        <v>35</v>
      </c>
      <c r="F3" s="4">
        <f>4571851+156158</f>
        <v>4728009</v>
      </c>
      <c r="G3" s="4">
        <f>F3*5%</f>
        <v>236400.45</v>
      </c>
      <c r="H3" s="4">
        <f>485000</f>
        <v>485000</v>
      </c>
      <c r="I3" s="5">
        <f>SUM(F3:H3)</f>
        <v>5449409.4500000002</v>
      </c>
      <c r="J3" s="4">
        <v>6242034.5499999998</v>
      </c>
      <c r="K3" s="5">
        <f>SUM(I3:J3)</f>
        <v>11691444</v>
      </c>
      <c r="L3" s="5">
        <f>K3/M3</f>
        <v>334041.25714285712</v>
      </c>
      <c r="M3" s="3">
        <v>35</v>
      </c>
      <c r="N3" s="3">
        <f>O3-M3</f>
        <v>62</v>
      </c>
      <c r="O3" s="3">
        <v>97</v>
      </c>
      <c r="P3" s="6">
        <v>45071</v>
      </c>
      <c r="Q3" s="46">
        <f>YEAR(P3)</f>
        <v>2023</v>
      </c>
      <c r="R3" s="4" t="str">
        <f>TEXT(P3, "mmmm")</f>
        <v>May</v>
      </c>
      <c r="S3" s="4">
        <f>DAY(P3)</f>
        <v>25</v>
      </c>
      <c r="T3" s="42">
        <v>45436</v>
      </c>
      <c r="U3" s="7">
        <f>YEAR(T3)</f>
        <v>2024</v>
      </c>
      <c r="V3" s="4" t="str">
        <f>TEXT(T3, "mmmm")</f>
        <v>May</v>
      </c>
      <c r="W3" s="4">
        <f>DAY(T3)</f>
        <v>24</v>
      </c>
      <c r="X3" s="8">
        <f>M3/$M$133</f>
        <v>8.8428499242041436E-3</v>
      </c>
      <c r="Y3" s="8">
        <f>N3/$N$133</f>
        <v>1.9224806201550388E-2</v>
      </c>
      <c r="Z3" s="9">
        <f>O3/$O$133</f>
        <v>1.4123471170646476E-2</v>
      </c>
      <c r="AA3" s="10">
        <f>N3/M3</f>
        <v>1.7714285714285714</v>
      </c>
      <c r="AB3" s="11" t="str">
        <f>_xlfn.XLOOKUP(M3, $A$114:$A$117, $B$114:$B$117, , 1)</f>
        <v>Tigers</v>
      </c>
    </row>
    <row r="4" spans="3:28" s="11" customFormat="1">
      <c r="C4" s="3" t="s">
        <v>74</v>
      </c>
      <c r="D4" s="3" t="s">
        <v>33</v>
      </c>
      <c r="E4" s="3" t="s">
        <v>27</v>
      </c>
      <c r="F4" s="5">
        <f>2713988+6580490</f>
        <v>9294478</v>
      </c>
      <c r="G4" s="5">
        <f>F4*5%</f>
        <v>464723.9</v>
      </c>
      <c r="H4" s="5">
        <f>260000+600000</f>
        <v>860000</v>
      </c>
      <c r="I4" s="5">
        <f>SUM(F4:H4)</f>
        <v>10619201.9</v>
      </c>
      <c r="J4" s="5">
        <f>4613600+5416000</f>
        <v>10029600</v>
      </c>
      <c r="K4" s="5">
        <f>SUM(I4:J4)</f>
        <v>20648801.899999999</v>
      </c>
      <c r="L4" s="5">
        <f>K4/M4</f>
        <v>135847.38092105262</v>
      </c>
      <c r="M4" s="3">
        <f>32+120</f>
        <v>152</v>
      </c>
      <c r="N4" s="3">
        <v>0</v>
      </c>
      <c r="O4" s="3">
        <f>M4+N4</f>
        <v>152</v>
      </c>
      <c r="P4" s="6">
        <v>45331</v>
      </c>
      <c r="Q4" s="46">
        <f>YEAR(P4)</f>
        <v>2024</v>
      </c>
      <c r="R4" s="4" t="str">
        <f>TEXT(P4, "mmmm")</f>
        <v>February</v>
      </c>
      <c r="S4" s="4">
        <f>DAY(P4)</f>
        <v>9</v>
      </c>
      <c r="T4" s="42">
        <v>45696</v>
      </c>
      <c r="U4" s="7">
        <f>YEAR(T4)</f>
        <v>2025</v>
      </c>
      <c r="V4" s="4" t="str">
        <f>TEXT(T4, "mmmm")</f>
        <v>February</v>
      </c>
      <c r="W4" s="4">
        <f>DAY(T4)</f>
        <v>8</v>
      </c>
      <c r="X4" s="8">
        <f>M4/$M$133</f>
        <v>3.8403233956543707E-2</v>
      </c>
      <c r="Y4" s="8">
        <f>N4/$N$133</f>
        <v>0</v>
      </c>
      <c r="Z4" s="9">
        <f>O4/$O$133</f>
        <v>2.2131624927198602E-2</v>
      </c>
      <c r="AA4" s="10">
        <f>N4/M4</f>
        <v>0</v>
      </c>
      <c r="AB4" s="11" t="str">
        <f>_xlfn.XLOOKUP(M4, $A$114:$A$117, $B$114:$B$117, , 1)</f>
        <v>Elephants</v>
      </c>
    </row>
    <row r="5" spans="3:28" s="11" customFormat="1">
      <c r="C5" s="3" t="s">
        <v>68</v>
      </c>
      <c r="D5" s="3" t="s">
        <v>26</v>
      </c>
      <c r="E5" s="3" t="s">
        <v>27</v>
      </c>
      <c r="F5" s="5">
        <v>2731792</v>
      </c>
      <c r="G5" s="5">
        <f>F5*5%</f>
        <v>136589.6</v>
      </c>
      <c r="H5" s="5">
        <v>50000</v>
      </c>
      <c r="I5" s="5">
        <f>SUM(F5:H5)</f>
        <v>2918381.6</v>
      </c>
      <c r="J5" s="5">
        <v>0</v>
      </c>
      <c r="K5" s="5">
        <f>SUM(I5:J5)</f>
        <v>2918381.6</v>
      </c>
      <c r="L5" s="5">
        <f>K5/M5</f>
        <v>2918381.6</v>
      </c>
      <c r="M5" s="3">
        <v>1</v>
      </c>
      <c r="N5" s="3">
        <v>4</v>
      </c>
      <c r="O5" s="3">
        <f>M5+N5</f>
        <v>5</v>
      </c>
      <c r="P5" s="6">
        <v>45304</v>
      </c>
      <c r="Q5" s="46">
        <f>YEAR(P5)</f>
        <v>2024</v>
      </c>
      <c r="R5" s="4" t="str">
        <f>TEXT(P5, "mmmm")</f>
        <v>January</v>
      </c>
      <c r="S5" s="4">
        <f>DAY(P5)</f>
        <v>13</v>
      </c>
      <c r="T5" s="42">
        <v>45669</v>
      </c>
      <c r="U5" s="7">
        <f>YEAR(T5)</f>
        <v>2025</v>
      </c>
      <c r="V5" s="4" t="str">
        <f>TEXT(T5, "mmmm")</f>
        <v>January</v>
      </c>
      <c r="W5" s="4">
        <f>DAY(T5)</f>
        <v>12</v>
      </c>
      <c r="X5" s="8">
        <f>M5/$M$133</f>
        <v>2.5265285497726126E-4</v>
      </c>
      <c r="Y5" s="8">
        <f>N5/$N$133</f>
        <v>1.2403100775193799E-3</v>
      </c>
      <c r="Z5" s="9">
        <f>O5/$O$133</f>
        <v>7.2801397786837504E-4</v>
      </c>
      <c r="AA5" s="10">
        <f>N5/M5</f>
        <v>4</v>
      </c>
      <c r="AB5" s="11" t="str">
        <f>_xlfn.XLOOKUP(M5, $A$114:$A$117, $B$114:$B$117, , 1)</f>
        <v>Hares</v>
      </c>
    </row>
    <row r="6" spans="3:28" s="11" customFormat="1">
      <c r="C6" s="3" t="s">
        <v>65</v>
      </c>
      <c r="D6" s="3" t="s">
        <v>26</v>
      </c>
      <c r="E6" s="3" t="s">
        <v>27</v>
      </c>
      <c r="F6" s="5">
        <v>1699519</v>
      </c>
      <c r="G6" s="5">
        <f>F6*5%</f>
        <v>84975.950000000012</v>
      </c>
      <c r="H6" s="5">
        <v>40000</v>
      </c>
      <c r="I6" s="5">
        <f>SUM(F6:H6)</f>
        <v>1824494.95</v>
      </c>
      <c r="J6" s="5">
        <v>0</v>
      </c>
      <c r="K6" s="5">
        <f>SUM(I6:J6)</f>
        <v>1824494.95</v>
      </c>
      <c r="L6" s="5">
        <f>K6/M6</f>
        <v>1824494.95</v>
      </c>
      <c r="M6" s="3">
        <v>1</v>
      </c>
      <c r="N6" s="3">
        <v>3</v>
      </c>
      <c r="O6" s="3">
        <f>M6+N6</f>
        <v>4</v>
      </c>
      <c r="P6" s="6">
        <v>45301</v>
      </c>
      <c r="Q6" s="46">
        <f>YEAR(P6)</f>
        <v>2024</v>
      </c>
      <c r="R6" s="4" t="str">
        <f>TEXT(P6, "mmmm")</f>
        <v>January</v>
      </c>
      <c r="S6" s="4">
        <f>DAY(P6)</f>
        <v>10</v>
      </c>
      <c r="T6" s="42">
        <v>45666</v>
      </c>
      <c r="U6" s="7">
        <f>YEAR(T6)</f>
        <v>2025</v>
      </c>
      <c r="V6" s="4" t="str">
        <f>TEXT(T6, "mmmm")</f>
        <v>January</v>
      </c>
      <c r="W6" s="4">
        <f>DAY(T6)</f>
        <v>9</v>
      </c>
      <c r="X6" s="8">
        <f>M6/$M$133</f>
        <v>2.5265285497726126E-4</v>
      </c>
      <c r="Y6" s="8">
        <f>N6/$N$133</f>
        <v>9.3023255813953494E-4</v>
      </c>
      <c r="Z6" s="9">
        <f>O6/$O$133</f>
        <v>5.8241118229470008E-4</v>
      </c>
      <c r="AA6" s="10">
        <f>N6/M6</f>
        <v>3</v>
      </c>
      <c r="AB6" s="11" t="str">
        <f>_xlfn.XLOOKUP(M6, $A$114:$A$117, $B$114:$B$117, , 1)</f>
        <v>Hares</v>
      </c>
    </row>
    <row r="7" spans="3:28" s="11" customFormat="1">
      <c r="C7" s="3" t="s">
        <v>52</v>
      </c>
      <c r="D7" s="3" t="s">
        <v>26</v>
      </c>
      <c r="E7" s="3" t="s">
        <v>27</v>
      </c>
      <c r="F7" s="5">
        <v>1555168</v>
      </c>
      <c r="G7" s="5">
        <f>F7*5%</f>
        <v>77758.400000000009</v>
      </c>
      <c r="H7" s="5">
        <v>30000</v>
      </c>
      <c r="I7" s="5">
        <f>SUM(F7:H7)</f>
        <v>1662926.4</v>
      </c>
      <c r="J7" s="5">
        <v>0</v>
      </c>
      <c r="K7" s="5">
        <f>SUM(I7:J7)</f>
        <v>1662926.4</v>
      </c>
      <c r="L7" s="5">
        <f>K7/M7</f>
        <v>1662926.4</v>
      </c>
      <c r="M7" s="3">
        <v>1</v>
      </c>
      <c r="N7" s="3">
        <f>O7-M7</f>
        <v>2</v>
      </c>
      <c r="O7" s="3">
        <v>3</v>
      </c>
      <c r="P7" s="6">
        <v>45206</v>
      </c>
      <c r="Q7" s="46">
        <f>YEAR(P7)</f>
        <v>2023</v>
      </c>
      <c r="R7" s="4" t="str">
        <f>TEXT(P7, "mmmm")</f>
        <v>October</v>
      </c>
      <c r="S7" s="4">
        <f>DAY(P7)</f>
        <v>7</v>
      </c>
      <c r="T7" s="42">
        <v>45571</v>
      </c>
      <c r="U7" s="7">
        <f>YEAR(T7)</f>
        <v>2024</v>
      </c>
      <c r="V7" s="4" t="str">
        <f>TEXT(T7, "mmmm")</f>
        <v>October</v>
      </c>
      <c r="W7" s="4">
        <f>DAY(T7)</f>
        <v>6</v>
      </c>
      <c r="X7" s="8">
        <f>M7/$M$133</f>
        <v>2.5265285497726126E-4</v>
      </c>
      <c r="Y7" s="8">
        <f>N7/$N$133</f>
        <v>6.2015503875968996E-4</v>
      </c>
      <c r="Z7" s="9">
        <f>O7/$O$133</f>
        <v>4.3680838672102506E-4</v>
      </c>
      <c r="AA7" s="10">
        <f>N7/M7</f>
        <v>2</v>
      </c>
      <c r="AB7" s="11" t="str">
        <f>_xlfn.XLOOKUP(M7, $A$114:$A$117, $B$114:$B$117, , 1)</f>
        <v>Hares</v>
      </c>
    </row>
    <row r="8" spans="3:28" s="11" customFormat="1">
      <c r="C8" s="3" t="s">
        <v>53</v>
      </c>
      <c r="D8" s="3" t="s">
        <v>26</v>
      </c>
      <c r="E8" s="3" t="s">
        <v>27</v>
      </c>
      <c r="F8" s="5">
        <v>1463279</v>
      </c>
      <c r="G8" s="5">
        <f>F8*5%</f>
        <v>73163.95</v>
      </c>
      <c r="H8" s="5">
        <v>40000</v>
      </c>
      <c r="I8" s="5">
        <f>SUM(F8:H8)</f>
        <v>1576442.95</v>
      </c>
      <c r="J8" s="5">
        <v>0</v>
      </c>
      <c r="K8" s="5">
        <f>SUM(I8:J8)</f>
        <v>1576442.95</v>
      </c>
      <c r="L8" s="5">
        <f>K8/M8</f>
        <v>1576442.95</v>
      </c>
      <c r="M8" s="3">
        <v>1</v>
      </c>
      <c r="N8" s="3">
        <f>O8-M8</f>
        <v>3</v>
      </c>
      <c r="O8" s="3">
        <v>4</v>
      </c>
      <c r="P8" s="6">
        <v>45218</v>
      </c>
      <c r="Q8" s="46">
        <f>YEAR(P8)</f>
        <v>2023</v>
      </c>
      <c r="R8" s="4" t="str">
        <f>TEXT(P8, "mmmm")</f>
        <v>October</v>
      </c>
      <c r="S8" s="4">
        <f>DAY(P8)</f>
        <v>19</v>
      </c>
      <c r="T8" s="42">
        <v>45583</v>
      </c>
      <c r="U8" s="7">
        <f>YEAR(T8)</f>
        <v>2024</v>
      </c>
      <c r="V8" s="4" t="str">
        <f>TEXT(T8, "mmmm")</f>
        <v>October</v>
      </c>
      <c r="W8" s="4">
        <f>DAY(T8)</f>
        <v>18</v>
      </c>
      <c r="X8" s="8">
        <f>M8/$M$133</f>
        <v>2.5265285497726126E-4</v>
      </c>
      <c r="Y8" s="8">
        <f>N8/$N$133</f>
        <v>9.3023255813953494E-4</v>
      </c>
      <c r="Z8" s="9">
        <f>O8/$O$133</f>
        <v>5.8241118229470008E-4</v>
      </c>
      <c r="AA8" s="10">
        <f>N8/M8</f>
        <v>3</v>
      </c>
      <c r="AB8" s="11" t="str">
        <f>_xlfn.XLOOKUP(M8, $A$114:$A$117, $B$114:$B$117, , 1)</f>
        <v>Hares</v>
      </c>
    </row>
    <row r="9" spans="3:28" s="11" customFormat="1">
      <c r="C9" s="3" t="s">
        <v>63</v>
      </c>
      <c r="D9" s="3" t="s">
        <v>26</v>
      </c>
      <c r="E9" s="3" t="s">
        <v>29</v>
      </c>
      <c r="F9" s="5">
        <v>15702822</v>
      </c>
      <c r="G9" s="5">
        <f>F9*5%</f>
        <v>785141.10000000009</v>
      </c>
      <c r="H9" s="5">
        <v>300000</v>
      </c>
      <c r="I9" s="5">
        <f>SUM(F9:H9)</f>
        <v>16787963.100000001</v>
      </c>
      <c r="J9" s="5">
        <v>0</v>
      </c>
      <c r="K9" s="5">
        <f>SUM(I9:J9)</f>
        <v>16787963.100000001</v>
      </c>
      <c r="L9" s="5">
        <f>K9/M9</f>
        <v>1526178.4636363639</v>
      </c>
      <c r="M9" s="3">
        <v>11</v>
      </c>
      <c r="N9" s="3">
        <v>19</v>
      </c>
      <c r="O9" s="3">
        <f>M9+N9</f>
        <v>30</v>
      </c>
      <c r="P9" s="6">
        <v>45287</v>
      </c>
      <c r="Q9" s="46">
        <f>YEAR(P9)</f>
        <v>2023</v>
      </c>
      <c r="R9" s="4" t="str">
        <f>TEXT(P9, "mmmm")</f>
        <v>December</v>
      </c>
      <c r="S9" s="4">
        <f>DAY(P9)</f>
        <v>27</v>
      </c>
      <c r="T9" s="42">
        <v>45286</v>
      </c>
      <c r="U9" s="7">
        <f>YEAR(T9)</f>
        <v>2023</v>
      </c>
      <c r="V9" s="4" t="str">
        <f>TEXT(T9, "mmmm")</f>
        <v>December</v>
      </c>
      <c r="W9" s="4">
        <f>DAY(T9)</f>
        <v>26</v>
      </c>
      <c r="X9" s="8">
        <f>M9/$M$133</f>
        <v>2.7791814047498737E-3</v>
      </c>
      <c r="Y9" s="8">
        <f>N9/$N$133</f>
        <v>5.8914728682170538E-3</v>
      </c>
      <c r="Z9" s="9">
        <f>O9/$O$133</f>
        <v>4.3680838672102507E-3</v>
      </c>
      <c r="AA9" s="10">
        <f>N9/M9</f>
        <v>1.7272727272727273</v>
      </c>
      <c r="AB9" s="11" t="str">
        <f>_xlfn.XLOOKUP(M9, $A$114:$A$117, $B$114:$B$117, , 1)</f>
        <v>Hares</v>
      </c>
    </row>
    <row r="10" spans="3:28" s="11" customFormat="1">
      <c r="C10" s="3" t="s">
        <v>72</v>
      </c>
      <c r="D10" s="3" t="s">
        <v>26</v>
      </c>
      <c r="E10" s="3" t="s">
        <v>27</v>
      </c>
      <c r="F10" s="5">
        <v>11388150</v>
      </c>
      <c r="G10" s="5">
        <f>F10*5%</f>
        <v>569407.5</v>
      </c>
      <c r="H10" s="5">
        <v>200000</v>
      </c>
      <c r="I10" s="5">
        <f>SUM(F10:H10)</f>
        <v>12157557.5</v>
      </c>
      <c r="J10" s="5">
        <v>0</v>
      </c>
      <c r="K10" s="5">
        <f>SUM(I10:J10)</f>
        <v>12157557.5</v>
      </c>
      <c r="L10" s="5">
        <f>K10/M10</f>
        <v>1350839.7222222222</v>
      </c>
      <c r="M10" s="3">
        <v>9</v>
      </c>
      <c r="N10" s="3">
        <v>11</v>
      </c>
      <c r="O10" s="3">
        <f>M10+N10</f>
        <v>20</v>
      </c>
      <c r="P10" s="6">
        <v>45328</v>
      </c>
      <c r="Q10" s="46">
        <f>YEAR(P10)</f>
        <v>2024</v>
      </c>
      <c r="R10" s="4" t="str">
        <f>TEXT(P10, "mmmm")</f>
        <v>February</v>
      </c>
      <c r="S10" s="4">
        <f>DAY(P10)</f>
        <v>6</v>
      </c>
      <c r="T10" s="42">
        <v>45693</v>
      </c>
      <c r="U10" s="7">
        <f>YEAR(T10)</f>
        <v>2025</v>
      </c>
      <c r="V10" s="4" t="str">
        <f>TEXT(T10, "mmmm")</f>
        <v>February</v>
      </c>
      <c r="W10" s="4">
        <f>DAY(T10)</f>
        <v>5</v>
      </c>
      <c r="X10" s="8">
        <f>M10/$M$133</f>
        <v>2.2738756947953513E-3</v>
      </c>
      <c r="Y10" s="8">
        <f>N10/$N$133</f>
        <v>3.4108527131782944E-3</v>
      </c>
      <c r="Z10" s="9">
        <f>O10/$O$133</f>
        <v>2.9120559114735002E-3</v>
      </c>
      <c r="AA10" s="10">
        <f>N10/M10</f>
        <v>1.2222222222222223</v>
      </c>
      <c r="AB10" s="11" t="str">
        <f>_xlfn.XLOOKUP(M10, $A$114:$A$117, $B$114:$B$117, , 1)</f>
        <v>Hares</v>
      </c>
    </row>
    <row r="11" spans="3:28" s="11" customFormat="1">
      <c r="C11" s="3" t="s">
        <v>42</v>
      </c>
      <c r="D11" s="3" t="s">
        <v>26</v>
      </c>
      <c r="E11" s="3" t="s">
        <v>35</v>
      </c>
      <c r="F11" s="4">
        <v>18581056</v>
      </c>
      <c r="G11" s="4">
        <f>F11*5%</f>
        <v>929052.8</v>
      </c>
      <c r="H11" s="4">
        <v>240000</v>
      </c>
      <c r="I11" s="5">
        <f>SUM(F11:H11)</f>
        <v>19750108.800000001</v>
      </c>
      <c r="J11" s="4">
        <v>0</v>
      </c>
      <c r="K11" s="5">
        <f>SUM(I11:J11)</f>
        <v>19750108.800000001</v>
      </c>
      <c r="L11" s="5">
        <f>K11/M11</f>
        <v>1316673.9200000002</v>
      </c>
      <c r="M11" s="3">
        <v>15</v>
      </c>
      <c r="N11" s="3">
        <f>O11-M11</f>
        <v>9</v>
      </c>
      <c r="O11" s="3">
        <v>24</v>
      </c>
      <c r="P11" s="6">
        <v>45129</v>
      </c>
      <c r="Q11" s="46">
        <f>YEAR(P11)</f>
        <v>2023</v>
      </c>
      <c r="R11" s="4" t="str">
        <f>TEXT(P11, "mmmm")</f>
        <v>July</v>
      </c>
      <c r="S11" s="4">
        <f>DAY(P11)</f>
        <v>22</v>
      </c>
      <c r="T11" s="42">
        <v>45494</v>
      </c>
      <c r="U11" s="7">
        <f>YEAR(T11)</f>
        <v>2024</v>
      </c>
      <c r="V11" s="4" t="str">
        <f>TEXT(T11, "mmmm")</f>
        <v>July</v>
      </c>
      <c r="W11" s="4">
        <f>DAY(T11)</f>
        <v>21</v>
      </c>
      <c r="X11" s="8">
        <f>M11/$M$133</f>
        <v>3.7897928246589186E-3</v>
      </c>
      <c r="Y11" s="8">
        <f>N11/$N$133</f>
        <v>2.7906976744186047E-3</v>
      </c>
      <c r="Z11" s="9">
        <f>O11/$O$133</f>
        <v>3.4944670937682005E-3</v>
      </c>
      <c r="AA11" s="10">
        <f>N11/M11</f>
        <v>0.6</v>
      </c>
      <c r="AB11" s="11" t="str">
        <f>_xlfn.XLOOKUP(M11, $A$114:$A$117, $B$114:$B$117, , 1)</f>
        <v>Hares</v>
      </c>
    </row>
    <row r="12" spans="3:28" s="11" customFormat="1">
      <c r="C12" s="3" t="s">
        <v>56</v>
      </c>
      <c r="D12" s="3" t="s">
        <v>26</v>
      </c>
      <c r="E12" s="3" t="s">
        <v>29</v>
      </c>
      <c r="F12" s="5">
        <v>4823725</v>
      </c>
      <c r="G12" s="5">
        <f>F12*5%</f>
        <v>241186.25</v>
      </c>
      <c r="H12" s="5">
        <v>140000</v>
      </c>
      <c r="I12" s="5">
        <f>SUM(F12:H12)</f>
        <v>5204911.25</v>
      </c>
      <c r="J12" s="5">
        <v>0</v>
      </c>
      <c r="K12" s="5">
        <f>SUM(I12:J12)</f>
        <v>5204911.25</v>
      </c>
      <c r="L12" s="5">
        <f>K12/M12</f>
        <v>1301227.8125</v>
      </c>
      <c r="M12" s="3">
        <v>4</v>
      </c>
      <c r="N12" s="3">
        <f>O12-M12</f>
        <v>10</v>
      </c>
      <c r="O12" s="3">
        <v>14</v>
      </c>
      <c r="P12" s="6">
        <v>45230</v>
      </c>
      <c r="Q12" s="46">
        <f>YEAR(P12)</f>
        <v>2023</v>
      </c>
      <c r="R12" s="4" t="str">
        <f>TEXT(P12, "mmmm")</f>
        <v>October</v>
      </c>
      <c r="S12" s="4">
        <f>DAY(P12)</f>
        <v>31</v>
      </c>
      <c r="T12" s="42">
        <v>45595</v>
      </c>
      <c r="U12" s="7">
        <f>YEAR(T12)</f>
        <v>2024</v>
      </c>
      <c r="V12" s="4" t="str">
        <f>TEXT(T12, "mmmm")</f>
        <v>October</v>
      </c>
      <c r="W12" s="4">
        <f>DAY(T12)</f>
        <v>30</v>
      </c>
      <c r="X12" s="8">
        <f>M12/$M$133</f>
        <v>1.0106114199090451E-3</v>
      </c>
      <c r="Y12" s="8">
        <f>N12/$N$133</f>
        <v>3.1007751937984496E-3</v>
      </c>
      <c r="Z12" s="9">
        <f>O12/$O$133</f>
        <v>2.0384391380314504E-3</v>
      </c>
      <c r="AA12" s="10">
        <f>N12/M12</f>
        <v>2.5</v>
      </c>
      <c r="AB12" s="11" t="str">
        <f>_xlfn.XLOOKUP(M12, $A$114:$A$117, $B$114:$B$117, , 1)</f>
        <v>Hares</v>
      </c>
    </row>
    <row r="13" spans="3:28" s="11" customFormat="1">
      <c r="C13" s="3" t="s">
        <v>39</v>
      </c>
      <c r="D13" s="3" t="s">
        <v>26</v>
      </c>
      <c r="E13" s="3" t="s">
        <v>29</v>
      </c>
      <c r="F13" s="4">
        <v>5876347</v>
      </c>
      <c r="G13" s="4">
        <f>F13*5%</f>
        <v>293817.35000000003</v>
      </c>
      <c r="H13" s="4">
        <v>160000</v>
      </c>
      <c r="I13" s="5">
        <f>SUM(F13:H13)</f>
        <v>6330164.3499999996</v>
      </c>
      <c r="J13" s="4">
        <v>0</v>
      </c>
      <c r="K13" s="5">
        <f>SUM(I13:J13)</f>
        <v>6330164.3499999996</v>
      </c>
      <c r="L13" s="5">
        <f>K13/M13</f>
        <v>1266032.8699999999</v>
      </c>
      <c r="M13" s="3">
        <v>5</v>
      </c>
      <c r="N13" s="3">
        <f>O13-M13</f>
        <v>11</v>
      </c>
      <c r="O13" s="3">
        <v>16</v>
      </c>
      <c r="P13" s="6">
        <v>45092</v>
      </c>
      <c r="Q13" s="46">
        <f>YEAR(P13)</f>
        <v>2023</v>
      </c>
      <c r="R13" s="4" t="str">
        <f>TEXT(P13, "mmmm")</f>
        <v>June</v>
      </c>
      <c r="S13" s="4">
        <f>DAY(P13)</f>
        <v>15</v>
      </c>
      <c r="T13" s="42">
        <v>45457</v>
      </c>
      <c r="U13" s="7">
        <f>YEAR(T13)</f>
        <v>2024</v>
      </c>
      <c r="V13" s="4" t="str">
        <f>TEXT(T13, "mmmm")</f>
        <v>June</v>
      </c>
      <c r="W13" s="4">
        <f>DAY(T13)</f>
        <v>14</v>
      </c>
      <c r="X13" s="8">
        <f>M13/$M$133</f>
        <v>1.2632642748863063E-3</v>
      </c>
      <c r="Y13" s="8">
        <f>N13/$N$133</f>
        <v>3.4108527131782944E-3</v>
      </c>
      <c r="Z13" s="9">
        <f>O13/$O$133</f>
        <v>2.3296447291788003E-3</v>
      </c>
      <c r="AA13" s="10">
        <f>N13/M13</f>
        <v>2.2000000000000002</v>
      </c>
      <c r="AB13" s="11" t="str">
        <f>_xlfn.XLOOKUP(M13, $A$114:$A$117, $B$114:$B$117, , 1)</f>
        <v>Hares</v>
      </c>
    </row>
    <row r="14" spans="3:28" s="11" customFormat="1">
      <c r="C14" s="3" t="s">
        <v>60</v>
      </c>
      <c r="D14" s="3" t="s">
        <v>26</v>
      </c>
      <c r="E14" s="3" t="s">
        <v>27</v>
      </c>
      <c r="F14" s="5">
        <v>1150690</v>
      </c>
      <c r="G14" s="5">
        <f>F14*5%</f>
        <v>57534.5</v>
      </c>
      <c r="H14" s="5">
        <v>30000</v>
      </c>
      <c r="I14" s="5">
        <f>SUM(F14:H14)</f>
        <v>1238224.5</v>
      </c>
      <c r="J14" s="5">
        <v>0</v>
      </c>
      <c r="K14" s="5">
        <f>SUM(I14:J14)</f>
        <v>1238224.5</v>
      </c>
      <c r="L14" s="5">
        <f>K14/M14</f>
        <v>1238224.5</v>
      </c>
      <c r="M14" s="3">
        <v>1</v>
      </c>
      <c r="N14" s="3">
        <v>2</v>
      </c>
      <c r="O14" s="3">
        <v>3</v>
      </c>
      <c r="P14" s="6">
        <v>45247</v>
      </c>
      <c r="Q14" s="46">
        <f>YEAR(P14)</f>
        <v>2023</v>
      </c>
      <c r="R14" s="4" t="str">
        <f>TEXT(P14, "mmmm")</f>
        <v>November</v>
      </c>
      <c r="S14" s="4">
        <f>DAY(P14)</f>
        <v>17</v>
      </c>
      <c r="T14" s="42">
        <v>45246</v>
      </c>
      <c r="U14" s="7">
        <f>YEAR(T14)</f>
        <v>2023</v>
      </c>
      <c r="V14" s="4" t="str">
        <f>TEXT(T14, "mmmm")</f>
        <v>November</v>
      </c>
      <c r="W14" s="4">
        <f>DAY(T14)</f>
        <v>16</v>
      </c>
      <c r="X14" s="8">
        <f>M14/$M$133</f>
        <v>2.5265285497726126E-4</v>
      </c>
      <c r="Y14" s="8">
        <f>N14/$N$133</f>
        <v>6.2015503875968996E-4</v>
      </c>
      <c r="Z14" s="9">
        <f>O14/$O$133</f>
        <v>4.3680838672102506E-4</v>
      </c>
      <c r="AA14" s="10">
        <f>N14/M14</f>
        <v>2</v>
      </c>
      <c r="AB14" s="11" t="str">
        <f>_xlfn.XLOOKUP(M14, $A$114:$A$117, $B$114:$B$117, , 1)</f>
        <v>Hares</v>
      </c>
    </row>
    <row r="15" spans="3:28" s="11" customFormat="1">
      <c r="C15" s="3" t="s">
        <v>40</v>
      </c>
      <c r="D15" s="3" t="s">
        <v>26</v>
      </c>
      <c r="E15" s="3" t="s">
        <v>29</v>
      </c>
      <c r="F15" s="4">
        <v>20830183</v>
      </c>
      <c r="G15" s="4">
        <f>F15*5%</f>
        <v>1041509.15</v>
      </c>
      <c r="H15" s="4">
        <v>600000</v>
      </c>
      <c r="I15" s="5">
        <f>SUM(F15:H15)</f>
        <v>22471692.149999999</v>
      </c>
      <c r="J15" s="4">
        <v>0</v>
      </c>
      <c r="K15" s="5">
        <f>SUM(I15:J15)</f>
        <v>22471692.149999999</v>
      </c>
      <c r="L15" s="5">
        <f>K15/M15</f>
        <v>1123584.6074999999</v>
      </c>
      <c r="M15" s="3">
        <v>20</v>
      </c>
      <c r="N15" s="3">
        <f>O15-M15</f>
        <v>40</v>
      </c>
      <c r="O15" s="3">
        <v>60</v>
      </c>
      <c r="P15" s="6">
        <v>45095</v>
      </c>
      <c r="Q15" s="46">
        <f>YEAR(P15)</f>
        <v>2023</v>
      </c>
      <c r="R15" s="4" t="str">
        <f>TEXT(P15, "mmmm")</f>
        <v>June</v>
      </c>
      <c r="S15" s="4">
        <f>DAY(P15)</f>
        <v>18</v>
      </c>
      <c r="T15" s="42">
        <v>45460</v>
      </c>
      <c r="U15" s="7">
        <f>YEAR(T15)</f>
        <v>2024</v>
      </c>
      <c r="V15" s="4" t="str">
        <f>TEXT(T15, "mmmm")</f>
        <v>June</v>
      </c>
      <c r="W15" s="4">
        <f>DAY(T15)</f>
        <v>17</v>
      </c>
      <c r="X15" s="8">
        <f>M15/$M$133</f>
        <v>5.053057099545225E-3</v>
      </c>
      <c r="Y15" s="8">
        <f>N15/$N$133</f>
        <v>1.2403100775193798E-2</v>
      </c>
      <c r="Z15" s="9">
        <f>O15/$O$133</f>
        <v>8.7361677344205014E-3</v>
      </c>
      <c r="AA15" s="10">
        <f>N15/M15</f>
        <v>2</v>
      </c>
      <c r="AB15" s="11" t="str">
        <f>_xlfn.XLOOKUP(M15, $A$114:$A$117, $B$114:$B$117, , 1)</f>
        <v>Hares</v>
      </c>
    </row>
    <row r="16" spans="3:28" s="11" customFormat="1">
      <c r="C16" s="3" t="s">
        <v>41</v>
      </c>
      <c r="D16" s="3" t="s">
        <v>26</v>
      </c>
      <c r="E16" s="3" t="s">
        <v>29</v>
      </c>
      <c r="F16" s="4">
        <v>1983154</v>
      </c>
      <c r="G16" s="4">
        <f>F16*5%</f>
        <v>99157.700000000012</v>
      </c>
      <c r="H16" s="4">
        <v>80000</v>
      </c>
      <c r="I16" s="5">
        <f>SUM(F16:H16)</f>
        <v>2162311.7000000002</v>
      </c>
      <c r="J16" s="4">
        <v>0</v>
      </c>
      <c r="K16" s="5">
        <f>SUM(I16:J16)</f>
        <v>2162311.7000000002</v>
      </c>
      <c r="L16" s="5">
        <f>K16/M16</f>
        <v>1081155.8500000001</v>
      </c>
      <c r="M16" s="3">
        <v>2</v>
      </c>
      <c r="N16" s="3">
        <f>O16-M16</f>
        <v>6</v>
      </c>
      <c r="O16" s="3">
        <v>8</v>
      </c>
      <c r="P16" s="6">
        <v>45097</v>
      </c>
      <c r="Q16" s="46">
        <f>YEAR(P16)</f>
        <v>2023</v>
      </c>
      <c r="R16" s="4" t="str">
        <f>TEXT(P16, "mmmm")</f>
        <v>June</v>
      </c>
      <c r="S16" s="4">
        <f>DAY(P16)</f>
        <v>20</v>
      </c>
      <c r="T16" s="42">
        <v>45462</v>
      </c>
      <c r="U16" s="7">
        <f>YEAR(T16)</f>
        <v>2024</v>
      </c>
      <c r="V16" s="4" t="str">
        <f>TEXT(T16, "mmmm")</f>
        <v>June</v>
      </c>
      <c r="W16" s="4">
        <f>DAY(T16)</f>
        <v>19</v>
      </c>
      <c r="X16" s="8">
        <f>M16/$M$133</f>
        <v>5.0530570995452253E-4</v>
      </c>
      <c r="Y16" s="8">
        <f>N16/$N$133</f>
        <v>1.8604651162790699E-3</v>
      </c>
      <c r="Z16" s="9">
        <f>O16/$O$133</f>
        <v>1.1648223645894002E-3</v>
      </c>
      <c r="AA16" s="10">
        <f>N16/M16</f>
        <v>3</v>
      </c>
      <c r="AB16" s="11" t="str">
        <f>_xlfn.XLOOKUP(M16, $A$114:$A$117, $B$114:$B$117, , 1)</f>
        <v>Hares</v>
      </c>
    </row>
    <row r="17" spans="3:28" s="11" customFormat="1">
      <c r="C17" s="3" t="s">
        <v>43</v>
      </c>
      <c r="D17" s="3" t="s">
        <v>26</v>
      </c>
      <c r="E17" s="3" t="s">
        <v>29</v>
      </c>
      <c r="F17" s="4">
        <v>5862972</v>
      </c>
      <c r="G17" s="4">
        <f>F17*5%</f>
        <v>293148.60000000003</v>
      </c>
      <c r="H17" s="4">
        <v>220000</v>
      </c>
      <c r="I17" s="5">
        <f>SUM(F17:H17)</f>
        <v>6376120.5999999996</v>
      </c>
      <c r="J17" s="4">
        <v>0</v>
      </c>
      <c r="K17" s="5">
        <f>SUM(I17:J17)</f>
        <v>6376120.5999999996</v>
      </c>
      <c r="L17" s="5">
        <f>K17/M17</f>
        <v>1062686.7666666666</v>
      </c>
      <c r="M17" s="3">
        <v>6</v>
      </c>
      <c r="N17" s="3">
        <f>O17-M17</f>
        <v>16</v>
      </c>
      <c r="O17" s="3">
        <v>22</v>
      </c>
      <c r="P17" s="6">
        <v>45145</v>
      </c>
      <c r="Q17" s="46">
        <f>YEAR(P17)</f>
        <v>2023</v>
      </c>
      <c r="R17" s="4" t="str">
        <f>TEXT(P17, "mmmm")</f>
        <v>August</v>
      </c>
      <c r="S17" s="4">
        <f>DAY(P17)</f>
        <v>7</v>
      </c>
      <c r="T17" s="42">
        <v>45510</v>
      </c>
      <c r="U17" s="7">
        <f>YEAR(T17)</f>
        <v>2024</v>
      </c>
      <c r="V17" s="4" t="str">
        <f>TEXT(T17, "mmmm")</f>
        <v>August</v>
      </c>
      <c r="W17" s="4">
        <f>DAY(T17)</f>
        <v>6</v>
      </c>
      <c r="X17" s="8">
        <f>M17/$M$133</f>
        <v>1.5159171298635675E-3</v>
      </c>
      <c r="Y17" s="8">
        <f>N17/$N$133</f>
        <v>4.9612403100775197E-3</v>
      </c>
      <c r="Z17" s="9">
        <f>O17/$O$133</f>
        <v>3.2032615026208501E-3</v>
      </c>
      <c r="AA17" s="10">
        <f>N17/M17</f>
        <v>2.6666666666666665</v>
      </c>
      <c r="AB17" s="11" t="str">
        <f>_xlfn.XLOOKUP(M17, $A$114:$A$117, $B$114:$B$117, , 1)</f>
        <v>Hares</v>
      </c>
    </row>
    <row r="18" spans="3:28" s="11" customFormat="1">
      <c r="C18" s="3" t="s">
        <v>67</v>
      </c>
      <c r="D18" s="3" t="s">
        <v>26</v>
      </c>
      <c r="E18" s="3" t="s">
        <v>27</v>
      </c>
      <c r="F18" s="5">
        <v>21256481</v>
      </c>
      <c r="G18" s="5">
        <f>F18*5%</f>
        <v>1062824.05</v>
      </c>
      <c r="H18" s="5">
        <v>590000</v>
      </c>
      <c r="I18" s="5">
        <f>SUM(F18:H18)</f>
        <v>22909305.050000001</v>
      </c>
      <c r="J18" s="5">
        <v>0</v>
      </c>
      <c r="K18" s="5">
        <f>SUM(I18:J18)</f>
        <v>22909305.050000001</v>
      </c>
      <c r="L18" s="5">
        <f>K18/M18</f>
        <v>1041332.0477272727</v>
      </c>
      <c r="M18" s="3">
        <v>22</v>
      </c>
      <c r="N18" s="3">
        <v>37</v>
      </c>
      <c r="O18" s="3">
        <f>M18+N18</f>
        <v>59</v>
      </c>
      <c r="P18" s="6">
        <v>45301</v>
      </c>
      <c r="Q18" s="46">
        <f>YEAR(P18)</f>
        <v>2024</v>
      </c>
      <c r="R18" s="4" t="str">
        <f>TEXT(P18, "mmmm")</f>
        <v>January</v>
      </c>
      <c r="S18" s="4">
        <f>DAY(P18)</f>
        <v>10</v>
      </c>
      <c r="T18" s="42">
        <v>45666</v>
      </c>
      <c r="U18" s="7">
        <f>YEAR(T18)</f>
        <v>2025</v>
      </c>
      <c r="V18" s="4" t="str">
        <f>TEXT(T18, "mmmm")</f>
        <v>January</v>
      </c>
      <c r="W18" s="4">
        <f>DAY(T18)</f>
        <v>9</v>
      </c>
      <c r="X18" s="8">
        <f>M18/$M$133</f>
        <v>5.5583628094997475E-3</v>
      </c>
      <c r="Y18" s="8">
        <f>N18/$N$133</f>
        <v>1.1472868217054264E-2</v>
      </c>
      <c r="Z18" s="9">
        <f>O18/$O$133</f>
        <v>8.5905649388468251E-3</v>
      </c>
      <c r="AA18" s="10">
        <f>N18/M18</f>
        <v>1.6818181818181819</v>
      </c>
      <c r="AB18" s="11" t="str">
        <f>_xlfn.XLOOKUP(M18, $A$114:$A$117, $B$114:$B$117, , 1)</f>
        <v>Hares</v>
      </c>
    </row>
    <row r="19" spans="3:28" s="11" customFormat="1">
      <c r="C19" s="3" t="s">
        <v>31</v>
      </c>
      <c r="D19" s="3" t="s">
        <v>26</v>
      </c>
      <c r="E19" s="3" t="s">
        <v>27</v>
      </c>
      <c r="F19" s="4">
        <v>3790302</v>
      </c>
      <c r="G19" s="4">
        <f>F19*5%</f>
        <v>189515.1</v>
      </c>
      <c r="H19" s="4">
        <v>70000</v>
      </c>
      <c r="I19" s="5">
        <f>SUM(F19:H19)</f>
        <v>4049817.1</v>
      </c>
      <c r="J19" s="4">
        <v>0</v>
      </c>
      <c r="K19" s="5">
        <f>SUM(I19:J19)</f>
        <v>4049817.1</v>
      </c>
      <c r="L19" s="5">
        <f>K19/M19</f>
        <v>1012454.275</v>
      </c>
      <c r="M19" s="3">
        <v>4</v>
      </c>
      <c r="N19" s="3">
        <f>O19-M19</f>
        <v>3</v>
      </c>
      <c r="O19" s="3">
        <v>7</v>
      </c>
      <c r="P19" s="6">
        <v>45013</v>
      </c>
      <c r="Q19" s="46">
        <f>YEAR(P19)</f>
        <v>2023</v>
      </c>
      <c r="R19" s="4" t="str">
        <f>TEXT(P19, "mmmm")</f>
        <v>March</v>
      </c>
      <c r="S19" s="4">
        <f>DAY(P19)</f>
        <v>28</v>
      </c>
      <c r="T19" s="42">
        <v>45378</v>
      </c>
      <c r="U19" s="7">
        <f>YEAR(T19)</f>
        <v>2024</v>
      </c>
      <c r="V19" s="4" t="str">
        <f>TEXT(T19, "mmmm")</f>
        <v>March</v>
      </c>
      <c r="W19" s="4">
        <f>DAY(T19)</f>
        <v>27</v>
      </c>
      <c r="X19" s="8">
        <f>M19/$M$133</f>
        <v>1.0106114199090451E-3</v>
      </c>
      <c r="Y19" s="8">
        <f>N19/$N$133</f>
        <v>9.3023255813953494E-4</v>
      </c>
      <c r="Z19" s="9">
        <f>O19/$O$133</f>
        <v>1.0192195690157252E-3</v>
      </c>
      <c r="AA19" s="10">
        <f>N19/M19</f>
        <v>0.75</v>
      </c>
      <c r="AB19" s="11" t="str">
        <f>_xlfn.XLOOKUP(M19, $A$114:$A$117, $B$114:$B$117, , 1)</f>
        <v>Hares</v>
      </c>
    </row>
    <row r="20" spans="3:28" s="11" customFormat="1">
      <c r="C20" s="3" t="s">
        <v>30</v>
      </c>
      <c r="D20" s="3" t="s">
        <v>26</v>
      </c>
      <c r="E20" s="3" t="s">
        <v>27</v>
      </c>
      <c r="F20" s="4">
        <v>40164891.877313644</v>
      </c>
      <c r="G20" s="4">
        <f>F20*5%</f>
        <v>2008244.5938656824</v>
      </c>
      <c r="H20" s="4">
        <v>0</v>
      </c>
      <c r="I20" s="5">
        <f>SUM(F20:H20)</f>
        <v>42173136.471179329</v>
      </c>
      <c r="J20" s="4">
        <v>0</v>
      </c>
      <c r="K20" s="5">
        <f>SUM(I20:J20)</f>
        <v>42173136.471179329</v>
      </c>
      <c r="L20" s="5">
        <f>K20/M20</f>
        <v>980770.61560882162</v>
      </c>
      <c r="M20" s="3">
        <v>43</v>
      </c>
      <c r="N20" s="3">
        <f>O20-M20</f>
        <v>90</v>
      </c>
      <c r="O20" s="3">
        <v>133</v>
      </c>
      <c r="P20" s="6">
        <v>44992</v>
      </c>
      <c r="Q20" s="46">
        <f>YEAR(P20)</f>
        <v>2023</v>
      </c>
      <c r="R20" s="4" t="str">
        <f>TEXT(P20, "mmmm")</f>
        <v>March</v>
      </c>
      <c r="S20" s="4">
        <f>DAY(P20)</f>
        <v>7</v>
      </c>
      <c r="T20" s="42">
        <v>45357</v>
      </c>
      <c r="U20" s="7">
        <f>YEAR(T20)</f>
        <v>2024</v>
      </c>
      <c r="V20" s="4" t="str">
        <f>TEXT(T20, "mmmm")</f>
        <v>March</v>
      </c>
      <c r="W20" s="4">
        <f>DAY(T20)</f>
        <v>6</v>
      </c>
      <c r="X20" s="8">
        <f>M20/$M$133</f>
        <v>1.0864072764022233E-2</v>
      </c>
      <c r="Y20" s="8">
        <f>N20/$N$133</f>
        <v>2.7906976744186046E-2</v>
      </c>
      <c r="Z20" s="9">
        <f>O20/$O$133</f>
        <v>1.9365171811298779E-2</v>
      </c>
      <c r="AA20" s="10">
        <f>N20/M20</f>
        <v>2.0930232558139537</v>
      </c>
      <c r="AB20" s="11" t="str">
        <f>_xlfn.XLOOKUP(M20, $A$114:$A$117, $B$114:$B$117, , 1)</f>
        <v>Tigers</v>
      </c>
    </row>
    <row r="21" spans="3:28" s="11" customFormat="1">
      <c r="C21" s="3" t="s">
        <v>61</v>
      </c>
      <c r="D21" s="3" t="s">
        <v>26</v>
      </c>
      <c r="E21" s="3" t="s">
        <v>27</v>
      </c>
      <c r="F21" s="5">
        <f>2732418+1515425</f>
        <v>4247843</v>
      </c>
      <c r="G21" s="5">
        <f>F21*5%</f>
        <v>212392.15000000002</v>
      </c>
      <c r="H21" s="5">
        <f>60000+70000</f>
        <v>130000</v>
      </c>
      <c r="I21" s="5">
        <f>SUM(F21:H21)</f>
        <v>4590235.1500000004</v>
      </c>
      <c r="J21" s="5">
        <v>0</v>
      </c>
      <c r="K21" s="5">
        <f>SUM(I21:J21)</f>
        <v>4590235.1500000004</v>
      </c>
      <c r="L21" s="5">
        <f>K21/M21</f>
        <v>918047.03</v>
      </c>
      <c r="M21" s="3">
        <v>5</v>
      </c>
      <c r="N21" s="3">
        <v>8</v>
      </c>
      <c r="O21" s="3">
        <f>13</f>
        <v>13</v>
      </c>
      <c r="P21" s="6">
        <v>45272</v>
      </c>
      <c r="Q21" s="46">
        <f>YEAR(P21)</f>
        <v>2023</v>
      </c>
      <c r="R21" s="4" t="str">
        <f>TEXT(P21, "mmmm")</f>
        <v>December</v>
      </c>
      <c r="S21" s="4">
        <f>DAY(P21)</f>
        <v>12</v>
      </c>
      <c r="T21" s="42">
        <v>45271</v>
      </c>
      <c r="U21" s="7">
        <f>YEAR(T21)</f>
        <v>2023</v>
      </c>
      <c r="V21" s="4" t="str">
        <f>TEXT(T21, "mmmm")</f>
        <v>December</v>
      </c>
      <c r="W21" s="4">
        <f>DAY(T21)</f>
        <v>11</v>
      </c>
      <c r="X21" s="8">
        <f>M21/$M$133</f>
        <v>1.2632642748863063E-3</v>
      </c>
      <c r="Y21" s="8">
        <f>N21/$N$133</f>
        <v>2.4806201550387598E-3</v>
      </c>
      <c r="Z21" s="9">
        <f>O21/$O$133</f>
        <v>1.8928363424577752E-3</v>
      </c>
      <c r="AA21" s="10">
        <f>N21/M21</f>
        <v>1.6</v>
      </c>
      <c r="AB21" s="11" t="str">
        <f>_xlfn.XLOOKUP(M21, $A$114:$A$117, $B$114:$B$117, , 1)</f>
        <v>Hares</v>
      </c>
    </row>
    <row r="22" spans="3:28" s="11" customFormat="1">
      <c r="C22" s="3" t="s">
        <v>58</v>
      </c>
      <c r="D22" s="3" t="s">
        <v>26</v>
      </c>
      <c r="E22" s="3" t="s">
        <v>27</v>
      </c>
      <c r="F22" s="5">
        <f>10019094+2178144</f>
        <v>12197238</v>
      </c>
      <c r="G22" s="5">
        <f>F22*5%</f>
        <v>609861.9</v>
      </c>
      <c r="H22" s="5">
        <f>60000+280000</f>
        <v>340000</v>
      </c>
      <c r="I22" s="5">
        <f>SUM(F22:H22)</f>
        <v>13147099.9</v>
      </c>
      <c r="J22" s="5">
        <v>0</v>
      </c>
      <c r="K22" s="5">
        <f>SUM(I22:J22)</f>
        <v>13147099.9</v>
      </c>
      <c r="L22" s="5">
        <f>K22/M22</f>
        <v>876473.32666666666</v>
      </c>
      <c r="M22" s="3">
        <v>15</v>
      </c>
      <c r="N22" s="3">
        <v>19</v>
      </c>
      <c r="O22" s="3">
        <f>SUM(M22:N22)</f>
        <v>34</v>
      </c>
      <c r="P22" s="6">
        <v>45246</v>
      </c>
      <c r="Q22" s="46">
        <f>YEAR(P22)</f>
        <v>2023</v>
      </c>
      <c r="R22" s="4" t="str">
        <f>TEXT(P22, "mmmm")</f>
        <v>November</v>
      </c>
      <c r="S22" s="4">
        <f>DAY(P22)</f>
        <v>16</v>
      </c>
      <c r="T22" s="42">
        <v>45245</v>
      </c>
      <c r="U22" s="7">
        <f>YEAR(T22)</f>
        <v>2023</v>
      </c>
      <c r="V22" s="4" t="str">
        <f>TEXT(T22, "mmmm")</f>
        <v>November</v>
      </c>
      <c r="W22" s="4">
        <f>DAY(T22)</f>
        <v>15</v>
      </c>
      <c r="X22" s="8">
        <f>M22/$M$133</f>
        <v>3.7897928246589186E-3</v>
      </c>
      <c r="Y22" s="8">
        <f>N22/$N$133</f>
        <v>5.8914728682170538E-3</v>
      </c>
      <c r="Z22" s="9">
        <f>O22/$O$133</f>
        <v>4.9504950495049506E-3</v>
      </c>
      <c r="AA22" s="10">
        <f>N22/M22</f>
        <v>1.2666666666666666</v>
      </c>
      <c r="AB22" s="11" t="str">
        <f>_xlfn.XLOOKUP(M22, $A$114:$A$117, $B$114:$B$117, , 1)</f>
        <v>Hares</v>
      </c>
    </row>
    <row r="23" spans="3:28" s="11" customFormat="1">
      <c r="C23" s="3" t="s">
        <v>25</v>
      </c>
      <c r="D23" s="3" t="s">
        <v>26</v>
      </c>
      <c r="E23" s="3" t="s">
        <v>27</v>
      </c>
      <c r="F23" s="5">
        <v>25054849</v>
      </c>
      <c r="G23" s="5">
        <f>F23*5%</f>
        <v>1252742.45</v>
      </c>
      <c r="H23" s="5">
        <v>335000</v>
      </c>
      <c r="I23" s="5">
        <f>SUM(F23:H23)</f>
        <v>26642591.449999999</v>
      </c>
      <c r="J23" s="5">
        <v>0</v>
      </c>
      <c r="K23" s="5">
        <f>SUM(I23:J23)</f>
        <v>26642591.449999999</v>
      </c>
      <c r="L23" s="5">
        <f>K23/M23</f>
        <v>832580.98281249998</v>
      </c>
      <c r="M23" s="3">
        <v>32</v>
      </c>
      <c r="N23" s="3">
        <f>67-32</f>
        <v>35</v>
      </c>
      <c r="O23" s="3">
        <f>M23+N23</f>
        <v>67</v>
      </c>
      <c r="P23" s="6">
        <v>45336</v>
      </c>
      <c r="Q23" s="46">
        <f>YEAR(P23)</f>
        <v>2024</v>
      </c>
      <c r="R23" s="4" t="str">
        <f>TEXT(P23, "mmmm")</f>
        <v>February</v>
      </c>
      <c r="S23" s="4">
        <f>DAY(P23)</f>
        <v>14</v>
      </c>
      <c r="T23" s="42">
        <v>45701</v>
      </c>
      <c r="U23" s="7">
        <f>YEAR(T23)</f>
        <v>2025</v>
      </c>
      <c r="V23" s="4" t="str">
        <f>TEXT(T23, "mmmm")</f>
        <v>February</v>
      </c>
      <c r="W23" s="4">
        <f>DAY(T23)</f>
        <v>13</v>
      </c>
      <c r="X23" s="8">
        <f>M23/$M$133</f>
        <v>8.0848913592723604E-3</v>
      </c>
      <c r="Y23" s="8">
        <f>N23/$N$133</f>
        <v>1.0852713178294573E-2</v>
      </c>
      <c r="Z23" s="9">
        <f>O23/$O$133</f>
        <v>9.7553873034362266E-3</v>
      </c>
      <c r="AA23" s="10">
        <f>N23/M23</f>
        <v>1.09375</v>
      </c>
      <c r="AB23" s="11" t="str">
        <f>_xlfn.XLOOKUP(M23, $A$114:$A$117, $B$114:$B$117, , 1)</f>
        <v>Tigers</v>
      </c>
    </row>
    <row r="24" spans="3:28" s="11" customFormat="1">
      <c r="C24" s="3" t="s">
        <v>45</v>
      </c>
      <c r="D24" s="3" t="s">
        <v>26</v>
      </c>
      <c r="E24" s="3" t="s">
        <v>29</v>
      </c>
      <c r="F24" s="4">
        <v>13176847</v>
      </c>
      <c r="G24" s="4">
        <f>F24*5%</f>
        <v>658842.35000000009</v>
      </c>
      <c r="H24" s="4">
        <v>370000</v>
      </c>
      <c r="I24" s="5">
        <f>SUM(F24:H24)</f>
        <v>14205689.35</v>
      </c>
      <c r="J24" s="4">
        <v>0</v>
      </c>
      <c r="K24" s="5">
        <f>SUM(I24:J24)</f>
        <v>14205689.35</v>
      </c>
      <c r="L24" s="5">
        <f>K24/M24</f>
        <v>789204.96388888883</v>
      </c>
      <c r="M24" s="3">
        <v>18</v>
      </c>
      <c r="N24" s="3">
        <f>O24-M24</f>
        <v>19</v>
      </c>
      <c r="O24" s="3">
        <v>37</v>
      </c>
      <c r="P24" s="6">
        <v>45153</v>
      </c>
      <c r="Q24" s="46">
        <f>YEAR(P24)</f>
        <v>2023</v>
      </c>
      <c r="R24" s="4" t="str">
        <f>TEXT(P24, "mmmm")</f>
        <v>August</v>
      </c>
      <c r="S24" s="4">
        <f>DAY(P24)</f>
        <v>15</v>
      </c>
      <c r="T24" s="42">
        <v>45518</v>
      </c>
      <c r="U24" s="7">
        <f>YEAR(T24)</f>
        <v>2024</v>
      </c>
      <c r="V24" s="4" t="str">
        <f>TEXT(T24, "mmmm")</f>
        <v>August</v>
      </c>
      <c r="W24" s="4">
        <f>DAY(T24)</f>
        <v>14</v>
      </c>
      <c r="X24" s="13">
        <f>M24/$M$133</f>
        <v>4.5477513895907026E-3</v>
      </c>
      <c r="Y24" s="8">
        <f>N24/$N$133</f>
        <v>5.8914728682170538E-3</v>
      </c>
      <c r="Z24" s="9">
        <f>O24/$O$133</f>
        <v>5.3873034362259759E-3</v>
      </c>
      <c r="AA24" s="14">
        <f>N24/M24</f>
        <v>1.0555555555555556</v>
      </c>
      <c r="AB24" s="11" t="str">
        <f>_xlfn.XLOOKUP(M24, $A$114:$A$117, $B$114:$B$117, , 1)</f>
        <v>Hares</v>
      </c>
    </row>
    <row r="25" spans="3:28" s="11" customFormat="1">
      <c r="C25" s="3" t="s">
        <v>25</v>
      </c>
      <c r="D25" s="3" t="s">
        <v>26</v>
      </c>
      <c r="E25" s="3" t="s">
        <v>27</v>
      </c>
      <c r="F25" s="4">
        <v>22496088</v>
      </c>
      <c r="G25" s="4">
        <f>F25*5%</f>
        <v>1124804.4000000001</v>
      </c>
      <c r="H25" s="4">
        <f>5000*57</f>
        <v>285000</v>
      </c>
      <c r="I25" s="5">
        <f>SUM(F25:H25)</f>
        <v>23905892.399999999</v>
      </c>
      <c r="J25" s="4">
        <v>0</v>
      </c>
      <c r="K25" s="5">
        <f>SUM(I25:J25)</f>
        <v>23905892.399999999</v>
      </c>
      <c r="L25" s="5">
        <f>K25/M25</f>
        <v>771157.81935483869</v>
      </c>
      <c r="M25" s="3">
        <v>31</v>
      </c>
      <c r="N25" s="3">
        <f>O25-M25</f>
        <v>17</v>
      </c>
      <c r="O25" s="3">
        <v>48</v>
      </c>
      <c r="P25" s="6">
        <v>44971</v>
      </c>
      <c r="Q25" s="46">
        <f>YEAR(P25)</f>
        <v>2023</v>
      </c>
      <c r="R25" s="4" t="str">
        <f>TEXT(P25, "mmmm")</f>
        <v>February</v>
      </c>
      <c r="S25" s="4">
        <f>DAY(P25)</f>
        <v>14</v>
      </c>
      <c r="T25" s="42">
        <v>45335</v>
      </c>
      <c r="U25" s="7">
        <f>YEAR(T25)</f>
        <v>2024</v>
      </c>
      <c r="V25" s="4" t="str">
        <f>TEXT(T25, "mmmm")</f>
        <v>February</v>
      </c>
      <c r="W25" s="4">
        <f>DAY(T25)</f>
        <v>13</v>
      </c>
      <c r="X25" s="13">
        <f>M25/$M$133</f>
        <v>7.8322385042950988E-3</v>
      </c>
      <c r="Y25" s="8">
        <f>N25/$N$133</f>
        <v>5.2713178294573641E-3</v>
      </c>
      <c r="Z25" s="9">
        <f>O25/$O$133</f>
        <v>6.9889341875364009E-3</v>
      </c>
      <c r="AA25" s="10">
        <f>N25/M25</f>
        <v>0.54838709677419351</v>
      </c>
      <c r="AB25" s="11" t="str">
        <f>_xlfn.XLOOKUP(M25, $A$114:$A$117, $B$114:$B$117, , 1)</f>
        <v>Tigers</v>
      </c>
    </row>
    <row r="26" spans="3:28" s="11" customFormat="1">
      <c r="C26" s="3" t="s">
        <v>47</v>
      </c>
      <c r="D26" s="3" t="s">
        <v>26</v>
      </c>
      <c r="E26" s="3" t="s">
        <v>35</v>
      </c>
      <c r="F26" s="4">
        <v>14687764</v>
      </c>
      <c r="G26" s="4">
        <f>F26*5%</f>
        <v>734388.20000000007</v>
      </c>
      <c r="H26" s="4">
        <v>450000</v>
      </c>
      <c r="I26" s="5">
        <f>SUM(F26:H26)</f>
        <v>15872152.199999999</v>
      </c>
      <c r="J26" s="4">
        <v>0</v>
      </c>
      <c r="K26" s="5">
        <f>SUM(I26:J26)</f>
        <v>15872152.199999999</v>
      </c>
      <c r="L26" s="5">
        <f>K26/M26</f>
        <v>755816.77142857143</v>
      </c>
      <c r="M26" s="3">
        <v>21</v>
      </c>
      <c r="N26" s="3">
        <f>O26-M26</f>
        <v>24</v>
      </c>
      <c r="O26" s="3">
        <v>45</v>
      </c>
      <c r="P26" s="6">
        <v>45170</v>
      </c>
      <c r="Q26" s="46">
        <f>YEAR(P26)</f>
        <v>2023</v>
      </c>
      <c r="R26" s="4" t="str">
        <f>TEXT(P26, "mmmm")</f>
        <v>September</v>
      </c>
      <c r="S26" s="4">
        <f>DAY(P26)</f>
        <v>1</v>
      </c>
      <c r="T26" s="42">
        <v>45535</v>
      </c>
      <c r="U26" s="7">
        <f>YEAR(T26)</f>
        <v>2024</v>
      </c>
      <c r="V26" s="4" t="str">
        <f>TEXT(T26, "mmmm")</f>
        <v>August</v>
      </c>
      <c r="W26" s="4">
        <f>DAY(T26)</f>
        <v>31</v>
      </c>
      <c r="X26" s="13">
        <f>M26/$M$133</f>
        <v>5.3057099545224858E-3</v>
      </c>
      <c r="Y26" s="8">
        <f>N26/$N$133</f>
        <v>7.4418604651162795E-3</v>
      </c>
      <c r="Z26" s="9">
        <f>O26/$O$133</f>
        <v>6.5521258008153756E-3</v>
      </c>
      <c r="AA26" s="10">
        <f>N26/M26</f>
        <v>1.1428571428571428</v>
      </c>
      <c r="AB26" s="11" t="str">
        <f>_xlfn.XLOOKUP(M26, $A$114:$A$117, $B$114:$B$117, , 1)</f>
        <v>Hares</v>
      </c>
    </row>
    <row r="27" spans="3:28" s="11" customFormat="1">
      <c r="C27" s="3" t="s">
        <v>48</v>
      </c>
      <c r="D27" s="3" t="s">
        <v>26</v>
      </c>
      <c r="E27" s="3" t="s">
        <v>27</v>
      </c>
      <c r="F27" s="4">
        <v>2669709</v>
      </c>
      <c r="G27" s="4">
        <f>F27*5%</f>
        <v>133485.45000000001</v>
      </c>
      <c r="H27" s="4">
        <v>70000</v>
      </c>
      <c r="I27" s="5">
        <f>SUM(F27:H27)</f>
        <v>2873194.45</v>
      </c>
      <c r="J27" s="4">
        <v>0</v>
      </c>
      <c r="K27" s="5">
        <f>SUM(I27:J27)</f>
        <v>2873194.45</v>
      </c>
      <c r="L27" s="5">
        <f>K27/M27</f>
        <v>718298.61250000005</v>
      </c>
      <c r="M27" s="3">
        <v>4</v>
      </c>
      <c r="N27" s="3">
        <f>O27-M27</f>
        <v>3</v>
      </c>
      <c r="O27" s="3">
        <v>7</v>
      </c>
      <c r="P27" s="6">
        <v>45170</v>
      </c>
      <c r="Q27" s="46">
        <f>YEAR(P27)</f>
        <v>2023</v>
      </c>
      <c r="R27" s="4" t="str">
        <f>TEXT(P27, "mmmm")</f>
        <v>September</v>
      </c>
      <c r="S27" s="4">
        <f>DAY(P27)</f>
        <v>1</v>
      </c>
      <c r="T27" s="42">
        <v>45535</v>
      </c>
      <c r="U27" s="7">
        <f>YEAR(T27)</f>
        <v>2024</v>
      </c>
      <c r="V27" s="4" t="str">
        <f>TEXT(T27, "mmmm")</f>
        <v>August</v>
      </c>
      <c r="W27" s="4">
        <f>DAY(T27)</f>
        <v>31</v>
      </c>
      <c r="X27" s="13">
        <f>M27/$M$133</f>
        <v>1.0106114199090451E-3</v>
      </c>
      <c r="Y27" s="8">
        <f>N27/$N$133</f>
        <v>9.3023255813953494E-4</v>
      </c>
      <c r="Z27" s="9">
        <f>O27/$O$133</f>
        <v>1.0192195690157252E-3</v>
      </c>
      <c r="AA27" s="10">
        <f>N27/M27</f>
        <v>0.75</v>
      </c>
      <c r="AB27" s="11" t="str">
        <f>_xlfn.XLOOKUP(M27, $A$114:$A$117, $B$114:$B$117, , 1)</f>
        <v>Hares</v>
      </c>
    </row>
    <row r="28" spans="3:28" s="11" customFormat="1">
      <c r="C28" s="3" t="s">
        <v>76</v>
      </c>
      <c r="D28" s="3" t="s">
        <v>26</v>
      </c>
      <c r="E28" s="3" t="s">
        <v>27</v>
      </c>
      <c r="F28" s="5">
        <v>673775</v>
      </c>
      <c r="G28" s="5">
        <f>F28*5%</f>
        <v>33688.75</v>
      </c>
      <c r="H28" s="5">
        <v>10000</v>
      </c>
      <c r="I28" s="5">
        <f>SUM(F28:H28)</f>
        <v>717463.75</v>
      </c>
      <c r="J28" s="5">
        <v>0</v>
      </c>
      <c r="K28" s="5">
        <f>SUM(I28:J28)</f>
        <v>717463.75</v>
      </c>
      <c r="L28" s="5">
        <f>K28/M28</f>
        <v>717463.75</v>
      </c>
      <c r="M28" s="3">
        <v>1</v>
      </c>
      <c r="N28" s="3">
        <v>0</v>
      </c>
      <c r="O28" s="3">
        <f>M28+N28</f>
        <v>1</v>
      </c>
      <c r="P28" s="6">
        <v>45337</v>
      </c>
      <c r="Q28" s="46">
        <f>YEAR(P28)</f>
        <v>2024</v>
      </c>
      <c r="R28" s="4" t="str">
        <f>TEXT(P28, "mmmm")</f>
        <v>February</v>
      </c>
      <c r="S28" s="4">
        <f>DAY(P28)</f>
        <v>15</v>
      </c>
      <c r="T28" s="42">
        <v>45336</v>
      </c>
      <c r="U28" s="7">
        <f>YEAR(T28)</f>
        <v>2024</v>
      </c>
      <c r="V28" s="4" t="str">
        <f>TEXT(T28, "mmmm")</f>
        <v>February</v>
      </c>
      <c r="W28" s="4">
        <f>DAY(T28)</f>
        <v>14</v>
      </c>
      <c r="X28" s="13">
        <f>M28/$M$133</f>
        <v>2.5265285497726126E-4</v>
      </c>
      <c r="Y28" s="8">
        <f>N28/$N$133</f>
        <v>0</v>
      </c>
      <c r="Z28" s="9">
        <f>O28/$O$133</f>
        <v>1.4560279557367502E-4</v>
      </c>
      <c r="AA28" s="14">
        <f>N28/M28</f>
        <v>0</v>
      </c>
      <c r="AB28" s="11" t="str">
        <f>_xlfn.XLOOKUP(M28, $A$114:$A$117, $B$114:$B$117, , 1)</f>
        <v>Hares</v>
      </c>
    </row>
    <row r="29" spans="3:28" s="11" customFormat="1">
      <c r="C29" s="3" t="s">
        <v>70</v>
      </c>
      <c r="D29" s="3" t="s">
        <v>26</v>
      </c>
      <c r="E29" s="3" t="s">
        <v>27</v>
      </c>
      <c r="F29" s="5">
        <v>2519484</v>
      </c>
      <c r="G29" s="5">
        <f>F29*5%</f>
        <v>125974.20000000001</v>
      </c>
      <c r="H29" s="5">
        <v>70000</v>
      </c>
      <c r="I29" s="5">
        <f>SUM(F29:H29)</f>
        <v>2715458.2</v>
      </c>
      <c r="J29" s="5">
        <v>0</v>
      </c>
      <c r="K29" s="5">
        <f>SUM(I29:J29)</f>
        <v>2715458.2</v>
      </c>
      <c r="L29" s="5">
        <f>K29/M29</f>
        <v>678864.55</v>
      </c>
      <c r="M29" s="3">
        <v>4</v>
      </c>
      <c r="N29" s="3">
        <v>3</v>
      </c>
      <c r="O29" s="3">
        <f>M29+N29</f>
        <v>7</v>
      </c>
      <c r="P29" s="6">
        <v>45292</v>
      </c>
      <c r="Q29" s="46">
        <f>YEAR(P29)</f>
        <v>2024</v>
      </c>
      <c r="R29" s="4" t="str">
        <f>TEXT(P29, "mmmm")</f>
        <v>January</v>
      </c>
      <c r="S29" s="4">
        <f>DAY(P29)</f>
        <v>1</v>
      </c>
      <c r="T29" s="42">
        <v>45657</v>
      </c>
      <c r="U29" s="7">
        <f>YEAR(T29)</f>
        <v>2024</v>
      </c>
      <c r="V29" s="4" t="str">
        <f>TEXT(T29, "mmmm")</f>
        <v>December</v>
      </c>
      <c r="W29" s="4">
        <f>DAY(T29)</f>
        <v>31</v>
      </c>
      <c r="X29" s="8">
        <f>M29/$M$133</f>
        <v>1.0106114199090451E-3</v>
      </c>
      <c r="Y29" s="8">
        <f>N29/$N$133</f>
        <v>9.3023255813953494E-4</v>
      </c>
      <c r="Z29" s="9">
        <f>O29/$O$133</f>
        <v>1.0192195690157252E-3</v>
      </c>
      <c r="AA29" s="10">
        <f>N29/M29</f>
        <v>0.75</v>
      </c>
      <c r="AB29" s="11" t="str">
        <f>_xlfn.XLOOKUP(M29, $A$114:$A$117, $B$114:$B$117, , 1)</f>
        <v>Hares</v>
      </c>
    </row>
    <row r="30" spans="3:28" s="11" customFormat="1">
      <c r="C30" s="3" t="s">
        <v>54</v>
      </c>
      <c r="D30" s="3" t="s">
        <v>26</v>
      </c>
      <c r="E30" s="3" t="s">
        <v>27</v>
      </c>
      <c r="F30" s="5">
        <v>1888962</v>
      </c>
      <c r="G30" s="5">
        <f>F30*5%</f>
        <v>94448.1</v>
      </c>
      <c r="H30" s="5">
        <v>50000</v>
      </c>
      <c r="I30" s="5">
        <f>SUM(F30:H30)</f>
        <v>2033410.1</v>
      </c>
      <c r="J30" s="5">
        <v>0</v>
      </c>
      <c r="K30" s="5">
        <f>SUM(I30:J30)</f>
        <v>2033410.1</v>
      </c>
      <c r="L30" s="5">
        <f>K30/M30</f>
        <v>677803.3666666667</v>
      </c>
      <c r="M30" s="3">
        <v>3</v>
      </c>
      <c r="N30" s="3">
        <f>O30-M30</f>
        <v>2</v>
      </c>
      <c r="O30" s="3">
        <v>5</v>
      </c>
      <c r="P30" s="6">
        <v>45223</v>
      </c>
      <c r="Q30" s="46">
        <f>YEAR(P30)</f>
        <v>2023</v>
      </c>
      <c r="R30" s="4" t="str">
        <f>TEXT(P30, "mmmm")</f>
        <v>October</v>
      </c>
      <c r="S30" s="4">
        <f>DAY(P30)</f>
        <v>24</v>
      </c>
      <c r="T30" s="42">
        <v>45588</v>
      </c>
      <c r="U30" s="7">
        <f>YEAR(T30)</f>
        <v>2024</v>
      </c>
      <c r="V30" s="4" t="str">
        <f>TEXT(T30, "mmmm")</f>
        <v>October</v>
      </c>
      <c r="W30" s="4">
        <f>DAY(T30)</f>
        <v>23</v>
      </c>
      <c r="X30" s="8">
        <f>M30/$M$133</f>
        <v>7.5795856493178374E-4</v>
      </c>
      <c r="Y30" s="8">
        <f>N30/$N$133</f>
        <v>6.2015503875968996E-4</v>
      </c>
      <c r="Z30" s="9">
        <f>O30/$O$133</f>
        <v>7.2801397786837504E-4</v>
      </c>
      <c r="AA30" s="10">
        <f>N30/M30</f>
        <v>0.66666666666666663</v>
      </c>
      <c r="AB30" s="11" t="str">
        <f>_xlfn.XLOOKUP(M30, $A$114:$A$117, $B$114:$B$117, , 1)</f>
        <v>Hares</v>
      </c>
    </row>
    <row r="31" spans="3:28" s="11" customFormat="1">
      <c r="C31" s="3" t="s">
        <v>59</v>
      </c>
      <c r="D31" s="3" t="s">
        <v>26</v>
      </c>
      <c r="E31" s="3" t="s">
        <v>27</v>
      </c>
      <c r="F31" s="5">
        <v>620086</v>
      </c>
      <c r="G31" s="5">
        <f>F31*5%</f>
        <v>31004.300000000003</v>
      </c>
      <c r="H31" s="5">
        <v>10000</v>
      </c>
      <c r="I31" s="5">
        <f>SUM(F31:H31)</f>
        <v>661090.30000000005</v>
      </c>
      <c r="J31" s="5">
        <v>0</v>
      </c>
      <c r="K31" s="5">
        <f>SUM(I31:J31)</f>
        <v>661090.30000000005</v>
      </c>
      <c r="L31" s="5">
        <f>K31/M31</f>
        <v>661090.30000000005</v>
      </c>
      <c r="M31" s="3">
        <v>1</v>
      </c>
      <c r="N31" s="3">
        <v>0</v>
      </c>
      <c r="O31" s="3">
        <v>1</v>
      </c>
      <c r="P31" s="6">
        <v>45254</v>
      </c>
      <c r="Q31" s="46">
        <f>YEAR(P31)</f>
        <v>2023</v>
      </c>
      <c r="R31" s="4" t="str">
        <f>TEXT(P31, "mmmm")</f>
        <v>November</v>
      </c>
      <c r="S31" s="4">
        <f>DAY(P31)</f>
        <v>24</v>
      </c>
      <c r="T31" s="42">
        <v>45253</v>
      </c>
      <c r="U31" s="7">
        <f>YEAR(T31)</f>
        <v>2023</v>
      </c>
      <c r="V31" s="4" t="str">
        <f>TEXT(T31, "mmmm")</f>
        <v>November</v>
      </c>
      <c r="W31" s="4">
        <f>DAY(T31)</f>
        <v>23</v>
      </c>
      <c r="X31" s="8">
        <f>M31/$M$133</f>
        <v>2.5265285497726126E-4</v>
      </c>
      <c r="Y31" s="8">
        <f>N31/$N$133</f>
        <v>0</v>
      </c>
      <c r="Z31" s="9">
        <f>O31/$O$133</f>
        <v>1.4560279557367502E-4</v>
      </c>
      <c r="AA31" s="10">
        <f>N31/M31</f>
        <v>0</v>
      </c>
      <c r="AB31" s="11" t="str">
        <f>_xlfn.XLOOKUP(M31, $A$114:$A$117, $B$114:$B$117, , 1)</f>
        <v>Hares</v>
      </c>
    </row>
    <row r="32" spans="3:28" s="11" customFormat="1">
      <c r="C32" s="3" t="s">
        <v>71</v>
      </c>
      <c r="D32" s="3" t="s">
        <v>26</v>
      </c>
      <c r="E32" s="3" t="s">
        <v>27</v>
      </c>
      <c r="F32" s="5">
        <v>582697</v>
      </c>
      <c r="G32" s="5">
        <f>F32*5%</f>
        <v>29134.850000000002</v>
      </c>
      <c r="H32" s="5">
        <v>10000</v>
      </c>
      <c r="I32" s="5">
        <f>SUM(F32:H32)</f>
        <v>621831.85</v>
      </c>
      <c r="J32" s="5">
        <v>0</v>
      </c>
      <c r="K32" s="5">
        <f>SUM(I32:J32)</f>
        <v>621831.85</v>
      </c>
      <c r="L32" s="5">
        <f>K32/M32</f>
        <v>621831.85</v>
      </c>
      <c r="M32" s="3">
        <v>1</v>
      </c>
      <c r="N32" s="3">
        <v>0</v>
      </c>
      <c r="O32" s="3">
        <f>M32+N32</f>
        <v>1</v>
      </c>
      <c r="P32" s="6">
        <v>45327</v>
      </c>
      <c r="Q32" s="46">
        <f>YEAR(P32)</f>
        <v>2024</v>
      </c>
      <c r="R32" s="4" t="str">
        <f>TEXT(P32, "mmmm")</f>
        <v>February</v>
      </c>
      <c r="S32" s="4">
        <f>DAY(P32)</f>
        <v>5</v>
      </c>
      <c r="T32" s="42">
        <v>45692</v>
      </c>
      <c r="U32" s="7">
        <f>YEAR(T32)</f>
        <v>2025</v>
      </c>
      <c r="V32" s="4" t="str">
        <f>TEXT(T32, "mmmm")</f>
        <v>February</v>
      </c>
      <c r="W32" s="4">
        <f>DAY(T32)</f>
        <v>4</v>
      </c>
      <c r="X32" s="8">
        <f>M32/$M$133</f>
        <v>2.5265285497726126E-4</v>
      </c>
      <c r="Y32" s="8">
        <f>N32/$N$133</f>
        <v>0</v>
      </c>
      <c r="Z32" s="9">
        <f>O32/$O$133</f>
        <v>1.4560279557367502E-4</v>
      </c>
      <c r="AA32" s="10">
        <f>N32/M32</f>
        <v>0</v>
      </c>
      <c r="AB32" s="11" t="str">
        <f>_xlfn.XLOOKUP(M32, $A$114:$A$117, $B$114:$B$117, , 1)</f>
        <v>Hares</v>
      </c>
    </row>
    <row r="33" spans="3:28" s="11" customFormat="1">
      <c r="C33" s="3" t="s">
        <v>34</v>
      </c>
      <c r="D33" s="3" t="s">
        <v>26</v>
      </c>
      <c r="E33" s="3" t="s">
        <v>35</v>
      </c>
      <c r="F33" s="4">
        <v>2284972</v>
      </c>
      <c r="G33" s="4">
        <f>F33*5%</f>
        <v>114248.6</v>
      </c>
      <c r="H33" s="4">
        <v>40000</v>
      </c>
      <c r="I33" s="5">
        <f>SUM(F33:H33)</f>
        <v>2439220.6</v>
      </c>
      <c r="J33" s="4">
        <v>0</v>
      </c>
      <c r="K33" s="5">
        <f>SUM(I33:J33)</f>
        <v>2439220.6</v>
      </c>
      <c r="L33" s="5">
        <f>K33/M33</f>
        <v>609805.15</v>
      </c>
      <c r="M33" s="3">
        <v>4</v>
      </c>
      <c r="N33" s="3">
        <f>O33-M33</f>
        <v>0</v>
      </c>
      <c r="O33" s="3">
        <v>4</v>
      </c>
      <c r="P33" s="6">
        <v>45047</v>
      </c>
      <c r="Q33" s="46">
        <f>YEAR(P33)</f>
        <v>2023</v>
      </c>
      <c r="R33" s="4" t="str">
        <f>TEXT(P33, "mmmm")</f>
        <v>May</v>
      </c>
      <c r="S33" s="4">
        <f>DAY(P33)</f>
        <v>1</v>
      </c>
      <c r="T33" s="42">
        <v>45412</v>
      </c>
      <c r="U33" s="7">
        <f>YEAR(T33)</f>
        <v>2024</v>
      </c>
      <c r="V33" s="4" t="str">
        <f>TEXT(T33, "mmmm")</f>
        <v>April</v>
      </c>
      <c r="W33" s="4">
        <f>DAY(T33)</f>
        <v>30</v>
      </c>
      <c r="X33" s="8">
        <f>M33/$M$133</f>
        <v>1.0106114199090451E-3</v>
      </c>
      <c r="Y33" s="8">
        <f>N33/$N$133</f>
        <v>0</v>
      </c>
      <c r="Z33" s="9">
        <f>O33/$O$133</f>
        <v>5.8241118229470008E-4</v>
      </c>
      <c r="AA33" s="10">
        <f>N33/M33</f>
        <v>0</v>
      </c>
      <c r="AB33" s="11" t="str">
        <f>_xlfn.XLOOKUP(M33, $A$114:$A$117, $B$114:$B$117, , 1)</f>
        <v>Hares</v>
      </c>
    </row>
    <row r="34" spans="3:28" s="11" customFormat="1">
      <c r="C34" s="3" t="s">
        <v>44</v>
      </c>
      <c r="D34" s="3" t="s">
        <v>26</v>
      </c>
      <c r="E34" s="3" t="s">
        <v>27</v>
      </c>
      <c r="F34" s="4">
        <v>544214</v>
      </c>
      <c r="G34" s="4">
        <f>F34*5%</f>
        <v>27210.7</v>
      </c>
      <c r="H34" s="4">
        <v>10000</v>
      </c>
      <c r="I34" s="5">
        <f>SUM(F34:H34)</f>
        <v>581424.69999999995</v>
      </c>
      <c r="J34" s="4">
        <v>0</v>
      </c>
      <c r="K34" s="5">
        <f>SUM(I34:J34)</f>
        <v>581424.69999999995</v>
      </c>
      <c r="L34" s="5">
        <f>K34/M34</f>
        <v>581424.69999999995</v>
      </c>
      <c r="M34" s="3">
        <v>1</v>
      </c>
      <c r="N34" s="3">
        <f>O34-M34</f>
        <v>0</v>
      </c>
      <c r="O34" s="3">
        <v>1</v>
      </c>
      <c r="P34" s="6">
        <v>45149</v>
      </c>
      <c r="Q34" s="46">
        <f>YEAR(P34)</f>
        <v>2023</v>
      </c>
      <c r="R34" s="4" t="str">
        <f>TEXT(P34, "mmmm")</f>
        <v>August</v>
      </c>
      <c r="S34" s="4">
        <f>DAY(P34)</f>
        <v>11</v>
      </c>
      <c r="T34" s="42">
        <v>45514</v>
      </c>
      <c r="U34" s="7">
        <f>YEAR(T34)</f>
        <v>2024</v>
      </c>
      <c r="V34" s="4" t="str">
        <f>TEXT(T34, "mmmm")</f>
        <v>August</v>
      </c>
      <c r="W34" s="4">
        <f>DAY(T34)</f>
        <v>10</v>
      </c>
      <c r="X34" s="8">
        <f>M34/$M$133</f>
        <v>2.5265285497726126E-4</v>
      </c>
      <c r="Y34" s="8">
        <f>N34/$N$133</f>
        <v>0</v>
      </c>
      <c r="Z34" s="9">
        <f>O34/$O$133</f>
        <v>1.4560279557367502E-4</v>
      </c>
      <c r="AA34" s="10">
        <f>N34/M34</f>
        <v>0</v>
      </c>
      <c r="AB34" s="11" t="str">
        <f>_xlfn.XLOOKUP(M34, $A$114:$A$117, $B$114:$B$117, , 1)</f>
        <v>Hares</v>
      </c>
    </row>
    <row r="35" spans="3:28" s="11" customFormat="1">
      <c r="C35" s="3" t="s">
        <v>66</v>
      </c>
      <c r="D35" s="3" t="s">
        <v>26</v>
      </c>
      <c r="E35" s="3" t="s">
        <v>27</v>
      </c>
      <c r="F35" s="5">
        <f>943648+3328599</f>
        <v>4272247</v>
      </c>
      <c r="G35" s="5">
        <f>F35*5%</f>
        <v>213612.35</v>
      </c>
      <c r="H35" s="5">
        <v>140000</v>
      </c>
      <c r="I35" s="5">
        <f>SUM(F35:H35)</f>
        <v>4625859.3499999996</v>
      </c>
      <c r="J35" s="5">
        <v>0</v>
      </c>
      <c r="K35" s="5">
        <f>SUM(I35:J35)</f>
        <v>4625859.3499999996</v>
      </c>
      <c r="L35" s="5">
        <f>K35/M35</f>
        <v>578232.41874999995</v>
      </c>
      <c r="M35" s="3">
        <v>8</v>
      </c>
      <c r="N35" s="3">
        <v>2</v>
      </c>
      <c r="O35" s="3">
        <f>M35+N35</f>
        <v>10</v>
      </c>
      <c r="P35" s="6">
        <v>45301</v>
      </c>
      <c r="Q35" s="46">
        <f>YEAR(P35)</f>
        <v>2024</v>
      </c>
      <c r="R35" s="4" t="str">
        <f>TEXT(P35, "mmmm")</f>
        <v>January</v>
      </c>
      <c r="S35" s="4">
        <f>DAY(P35)</f>
        <v>10</v>
      </c>
      <c r="T35" s="42">
        <v>45666</v>
      </c>
      <c r="U35" s="7">
        <f>YEAR(T35)</f>
        <v>2025</v>
      </c>
      <c r="V35" s="4" t="str">
        <f>TEXT(T35, "mmmm")</f>
        <v>January</v>
      </c>
      <c r="W35" s="4">
        <f>DAY(T35)</f>
        <v>9</v>
      </c>
      <c r="X35" s="8">
        <f>M35/$M$133</f>
        <v>2.0212228398180901E-3</v>
      </c>
      <c r="Y35" s="8">
        <f>N35/$N$133</f>
        <v>6.2015503875968996E-4</v>
      </c>
      <c r="Z35" s="9">
        <f>O35/$O$133</f>
        <v>1.4560279557367501E-3</v>
      </c>
      <c r="AA35" s="10">
        <f>N35/M35</f>
        <v>0.25</v>
      </c>
      <c r="AB35" s="11" t="str">
        <f>_xlfn.XLOOKUP(M35, $A$114:$A$117, $B$114:$B$117, , 1)</f>
        <v>Hares</v>
      </c>
    </row>
    <row r="36" spans="3:28" s="11" customFormat="1">
      <c r="C36" s="3" t="s">
        <v>55</v>
      </c>
      <c r="D36" s="3" t="s">
        <v>26</v>
      </c>
      <c r="E36" s="3" t="s">
        <v>27</v>
      </c>
      <c r="F36" s="5">
        <v>2468070</v>
      </c>
      <c r="G36" s="5">
        <f>F36*5%</f>
        <v>123403.5</v>
      </c>
      <c r="H36" s="5">
        <v>70000</v>
      </c>
      <c r="I36" s="5">
        <f>SUM(F36:H36)</f>
        <v>2661473.5</v>
      </c>
      <c r="J36" s="5">
        <v>0</v>
      </c>
      <c r="K36" s="5">
        <f>SUM(I36:J36)</f>
        <v>2661473.5</v>
      </c>
      <c r="L36" s="5">
        <f>K36/M36</f>
        <v>532294.69999999995</v>
      </c>
      <c r="M36" s="3">
        <v>5</v>
      </c>
      <c r="N36" s="3">
        <f>O36-M36</f>
        <v>2</v>
      </c>
      <c r="O36" s="3">
        <v>7</v>
      </c>
      <c r="P36" s="6">
        <v>45224</v>
      </c>
      <c r="Q36" s="46">
        <f>YEAR(P36)</f>
        <v>2023</v>
      </c>
      <c r="R36" s="4" t="str">
        <f>TEXT(P36, "mmmm")</f>
        <v>October</v>
      </c>
      <c r="S36" s="4">
        <f>DAY(P36)</f>
        <v>25</v>
      </c>
      <c r="T36" s="42">
        <v>45589</v>
      </c>
      <c r="U36" s="7">
        <f>YEAR(T36)</f>
        <v>2024</v>
      </c>
      <c r="V36" s="4" t="str">
        <f>TEXT(T36, "mmmm")</f>
        <v>October</v>
      </c>
      <c r="W36" s="4">
        <f>DAY(T36)</f>
        <v>24</v>
      </c>
      <c r="X36" s="8">
        <f>M36/$M$133</f>
        <v>1.2632642748863063E-3</v>
      </c>
      <c r="Y36" s="8">
        <f>N36/$N$133</f>
        <v>6.2015503875968996E-4</v>
      </c>
      <c r="Z36" s="9">
        <f>O36/$O$133</f>
        <v>1.0192195690157252E-3</v>
      </c>
      <c r="AA36" s="10">
        <f>N36/M36</f>
        <v>0.4</v>
      </c>
      <c r="AB36" s="11" t="str">
        <f>_xlfn.XLOOKUP(M36, $A$114:$A$117, $B$114:$B$117, , 1)</f>
        <v>Hares</v>
      </c>
    </row>
    <row r="37" spans="3:28" s="11" customFormat="1">
      <c r="C37" s="3" t="s">
        <v>73</v>
      </c>
      <c r="D37" s="3" t="s">
        <v>26</v>
      </c>
      <c r="E37" s="3" t="s">
        <v>27</v>
      </c>
      <c r="F37" s="5">
        <v>2920457</v>
      </c>
      <c r="G37" s="5">
        <f>F37*5%</f>
        <v>146022.85</v>
      </c>
      <c r="H37" s="5">
        <v>60000</v>
      </c>
      <c r="I37" s="5">
        <f>SUM(F37:H37)</f>
        <v>3126479.85</v>
      </c>
      <c r="J37" s="5">
        <v>0</v>
      </c>
      <c r="K37" s="5">
        <f>SUM(I37:J37)</f>
        <v>3126479.85</v>
      </c>
      <c r="L37" s="5">
        <f>K37/M37</f>
        <v>521079.97500000003</v>
      </c>
      <c r="M37" s="3">
        <v>6</v>
      </c>
      <c r="N37" s="3">
        <v>0</v>
      </c>
      <c r="O37" s="3">
        <f>M37+N37</f>
        <v>6</v>
      </c>
      <c r="P37" s="6">
        <v>45331</v>
      </c>
      <c r="Q37" s="46">
        <f>YEAR(P37)</f>
        <v>2024</v>
      </c>
      <c r="R37" s="4" t="str">
        <f>TEXT(P37, "mmmm")</f>
        <v>February</v>
      </c>
      <c r="S37" s="4">
        <f>DAY(P37)</f>
        <v>9</v>
      </c>
      <c r="T37" s="42">
        <v>45696</v>
      </c>
      <c r="U37" s="7">
        <f>YEAR(T37)</f>
        <v>2025</v>
      </c>
      <c r="V37" s="4" t="str">
        <f>TEXT(T37, "mmmm")</f>
        <v>February</v>
      </c>
      <c r="W37" s="4">
        <f>DAY(T37)</f>
        <v>8</v>
      </c>
      <c r="X37" s="8">
        <f>M37/$M$133</f>
        <v>1.5159171298635675E-3</v>
      </c>
      <c r="Y37" s="8">
        <f>N37/$N$133</f>
        <v>0</v>
      </c>
      <c r="Z37" s="9">
        <f>O37/$O$133</f>
        <v>8.7361677344205012E-4</v>
      </c>
      <c r="AA37" s="10">
        <f>N37/M37</f>
        <v>0</v>
      </c>
      <c r="AB37" s="11" t="str">
        <f>_xlfn.XLOOKUP(M37, $A$114:$A$117, $B$114:$B$117, , 1)</f>
        <v>Hares</v>
      </c>
    </row>
    <row r="38" spans="3:28" s="11" customFormat="1">
      <c r="C38" s="3" t="s">
        <v>77</v>
      </c>
      <c r="D38" s="3" t="s">
        <v>26</v>
      </c>
      <c r="E38" s="3" t="s">
        <v>27</v>
      </c>
      <c r="F38" s="5">
        <f>1039872+1855441</f>
        <v>2895313</v>
      </c>
      <c r="G38" s="5">
        <f>F38*5%</f>
        <v>144765.65</v>
      </c>
      <c r="H38" s="5">
        <v>60000</v>
      </c>
      <c r="I38" s="5">
        <f>SUM(F38:H38)</f>
        <v>3100078.65</v>
      </c>
      <c r="J38" s="5"/>
      <c r="K38" s="5">
        <f>SUM(I38:J38)</f>
        <v>3100078.65</v>
      </c>
      <c r="L38" s="5">
        <f>K38/M38</f>
        <v>516679.77499999997</v>
      </c>
      <c r="M38" s="3">
        <v>6</v>
      </c>
      <c r="N38" s="3">
        <v>0</v>
      </c>
      <c r="O38" s="3">
        <f>M38+N38</f>
        <v>6</v>
      </c>
      <c r="P38" s="6">
        <v>45350</v>
      </c>
      <c r="Q38" s="46">
        <f>YEAR(P38)</f>
        <v>2024</v>
      </c>
      <c r="R38" s="4" t="str">
        <f>TEXT(P38, "mmmm")</f>
        <v>February</v>
      </c>
      <c r="S38" s="4">
        <f>DAY(P38)</f>
        <v>28</v>
      </c>
      <c r="T38" s="42">
        <v>45349</v>
      </c>
      <c r="U38" s="7">
        <f>YEAR(T38)</f>
        <v>2024</v>
      </c>
      <c r="V38" s="4" t="str">
        <f>TEXT(T38, "mmmm")</f>
        <v>February</v>
      </c>
      <c r="W38" s="4">
        <f>DAY(T38)</f>
        <v>27</v>
      </c>
      <c r="X38" s="8">
        <f>M38/$M$133</f>
        <v>1.5159171298635675E-3</v>
      </c>
      <c r="Y38" s="8">
        <f>N38/$N$133</f>
        <v>0</v>
      </c>
      <c r="Z38" s="9">
        <f>O38/$O$133</f>
        <v>8.7361677344205012E-4</v>
      </c>
      <c r="AA38" s="10">
        <f>N38/M38</f>
        <v>0</v>
      </c>
      <c r="AB38" s="11" t="str">
        <f>_xlfn.XLOOKUP(M38, $A$114:$A$117, $B$114:$B$117, , 1)</f>
        <v>Hares</v>
      </c>
    </row>
    <row r="39" spans="3:28" s="11" customFormat="1">
      <c r="C39" s="3" t="s">
        <v>38</v>
      </c>
      <c r="D39" s="3" t="s">
        <v>26</v>
      </c>
      <c r="E39" s="3" t="s">
        <v>27</v>
      </c>
      <c r="F39" s="4">
        <v>478944</v>
      </c>
      <c r="G39" s="4">
        <f>F39*5%</f>
        <v>23947.200000000001</v>
      </c>
      <c r="H39" s="4">
        <v>10000</v>
      </c>
      <c r="I39" s="5">
        <f>SUM(F39:H39)</f>
        <v>512891.2</v>
      </c>
      <c r="J39" s="4">
        <v>0</v>
      </c>
      <c r="K39" s="5">
        <f>SUM(I39:J39)</f>
        <v>512891.2</v>
      </c>
      <c r="L39" s="5">
        <f>K39/M39</f>
        <v>512891.2</v>
      </c>
      <c r="M39" s="3">
        <v>1</v>
      </c>
      <c r="N39" s="3">
        <f>O39-M39</f>
        <v>0</v>
      </c>
      <c r="O39" s="3">
        <v>1</v>
      </c>
      <c r="P39" s="6">
        <v>45121</v>
      </c>
      <c r="Q39" s="46">
        <f>YEAR(P39)</f>
        <v>2023</v>
      </c>
      <c r="R39" s="4" t="str">
        <f>TEXT(P39, "mmmm")</f>
        <v>July</v>
      </c>
      <c r="S39" s="4">
        <f>DAY(P39)</f>
        <v>14</v>
      </c>
      <c r="T39" s="42">
        <v>45486</v>
      </c>
      <c r="U39" s="7">
        <f>YEAR(T39)</f>
        <v>2024</v>
      </c>
      <c r="V39" s="4" t="str">
        <f>TEXT(T39, "mmmm")</f>
        <v>July</v>
      </c>
      <c r="W39" s="4">
        <f>DAY(T39)</f>
        <v>13</v>
      </c>
      <c r="X39" s="8">
        <f>M39/$M$133</f>
        <v>2.5265285497726126E-4</v>
      </c>
      <c r="Y39" s="8">
        <f>N39/$N$133</f>
        <v>0</v>
      </c>
      <c r="Z39" s="9">
        <f>O39/$O$133</f>
        <v>1.4560279557367502E-4</v>
      </c>
      <c r="AA39" s="10">
        <f>N39/M39</f>
        <v>0</v>
      </c>
      <c r="AB39" s="11" t="str">
        <f>_xlfn.XLOOKUP(M39, $A$114:$A$117, $B$114:$B$117, , 1)</f>
        <v>Hares</v>
      </c>
    </row>
    <row r="40" spans="3:28" s="11" customFormat="1">
      <c r="C40" s="3" t="s">
        <v>64</v>
      </c>
      <c r="D40" s="3" t="s">
        <v>26</v>
      </c>
      <c r="E40" s="3" t="s">
        <v>27</v>
      </c>
      <c r="F40" s="5">
        <v>1405258</v>
      </c>
      <c r="G40" s="5">
        <f>F40*5%</f>
        <v>70262.900000000009</v>
      </c>
      <c r="H40" s="5">
        <v>30000</v>
      </c>
      <c r="I40" s="5">
        <f>SUM(F40:H40)</f>
        <v>1505520.9</v>
      </c>
      <c r="J40" s="5">
        <v>0</v>
      </c>
      <c r="K40" s="5">
        <f>SUM(I40:J40)</f>
        <v>1505520.9</v>
      </c>
      <c r="L40" s="5">
        <f>K40/M40</f>
        <v>501840.3</v>
      </c>
      <c r="M40" s="3">
        <v>3</v>
      </c>
      <c r="N40" s="3">
        <v>0</v>
      </c>
      <c r="O40" s="3">
        <f>M40+N40</f>
        <v>3</v>
      </c>
      <c r="P40" s="6">
        <v>45292</v>
      </c>
      <c r="Q40" s="46">
        <f>YEAR(P40)</f>
        <v>2024</v>
      </c>
      <c r="R40" s="4" t="str">
        <f>TEXT(P40, "mmmm")</f>
        <v>January</v>
      </c>
      <c r="S40" s="4">
        <f>DAY(P40)</f>
        <v>1</v>
      </c>
      <c r="T40" s="42">
        <v>45657</v>
      </c>
      <c r="U40" s="7">
        <f>YEAR(T40)</f>
        <v>2024</v>
      </c>
      <c r="V40" s="4" t="str">
        <f>TEXT(T40, "mmmm")</f>
        <v>December</v>
      </c>
      <c r="W40" s="4">
        <f>DAY(T40)</f>
        <v>31</v>
      </c>
      <c r="X40" s="8">
        <f>M40/$M$133</f>
        <v>7.5795856493178374E-4</v>
      </c>
      <c r="Y40" s="8">
        <f>N40/$N$133</f>
        <v>0</v>
      </c>
      <c r="Z40" s="9">
        <f>O40/$O$133</f>
        <v>4.3680838672102506E-4</v>
      </c>
      <c r="AA40" s="10">
        <f>N40/M40</f>
        <v>0</v>
      </c>
      <c r="AB40" s="11" t="str">
        <f>_xlfn.XLOOKUP(M40, $A$114:$A$117, $B$114:$B$117, , 1)</f>
        <v>Hares</v>
      </c>
    </row>
    <row r="41" spans="3:28" s="11" customFormat="1">
      <c r="C41" s="3" t="s">
        <v>37</v>
      </c>
      <c r="D41" s="3" t="s">
        <v>26</v>
      </c>
      <c r="E41" s="3" t="s">
        <v>27</v>
      </c>
      <c r="F41" s="4">
        <v>464879</v>
      </c>
      <c r="G41" s="4">
        <f>F41*5%</f>
        <v>23243.95</v>
      </c>
      <c r="H41" s="4">
        <v>10000</v>
      </c>
      <c r="I41" s="5">
        <f>SUM(F41:H41)</f>
        <v>498122.95</v>
      </c>
      <c r="J41" s="4">
        <v>0</v>
      </c>
      <c r="K41" s="5">
        <f>SUM(I41:J41)</f>
        <v>498122.95</v>
      </c>
      <c r="L41" s="5">
        <f>K41/M41</f>
        <v>498122.95</v>
      </c>
      <c r="M41" s="3">
        <v>1</v>
      </c>
      <c r="N41" s="3">
        <f>O41-M41</f>
        <v>0</v>
      </c>
      <c r="O41" s="3">
        <v>1</v>
      </c>
      <c r="P41" s="6">
        <v>45114</v>
      </c>
      <c r="Q41" s="46">
        <f>YEAR(P41)</f>
        <v>2023</v>
      </c>
      <c r="R41" s="4" t="str">
        <f>TEXT(P41, "mmmm")</f>
        <v>July</v>
      </c>
      <c r="S41" s="4">
        <f>DAY(P41)</f>
        <v>7</v>
      </c>
      <c r="T41" s="42">
        <v>45479</v>
      </c>
      <c r="U41" s="7">
        <f>YEAR(T41)</f>
        <v>2024</v>
      </c>
      <c r="V41" s="4" t="str">
        <f>TEXT(T41, "mmmm")</f>
        <v>July</v>
      </c>
      <c r="W41" s="4">
        <f>DAY(T41)</f>
        <v>6</v>
      </c>
      <c r="X41" s="8">
        <f>M41/$M$133</f>
        <v>2.5265285497726126E-4</v>
      </c>
      <c r="Y41" s="8">
        <f>N41/$N$133</f>
        <v>0</v>
      </c>
      <c r="Z41" s="9">
        <f>O41/$O$133</f>
        <v>1.4560279557367502E-4</v>
      </c>
      <c r="AA41" s="10">
        <f>N41/M41</f>
        <v>0</v>
      </c>
      <c r="AB41" s="11" t="str">
        <f>_xlfn.XLOOKUP(M41, $A$114:$A$117, $B$114:$B$117, , 1)</f>
        <v>Hares</v>
      </c>
    </row>
    <row r="42" spans="3:28" s="11" customFormat="1">
      <c r="C42" s="3" t="s">
        <v>57</v>
      </c>
      <c r="D42" s="3" t="s">
        <v>26</v>
      </c>
      <c r="E42" s="3" t="s">
        <v>27</v>
      </c>
      <c r="F42" s="5">
        <v>464822</v>
      </c>
      <c r="G42" s="5">
        <f>F42*5%</f>
        <v>23241.100000000002</v>
      </c>
      <c r="H42" s="5">
        <v>10000</v>
      </c>
      <c r="I42" s="5">
        <f>SUM(F42:H42)</f>
        <v>498063.1</v>
      </c>
      <c r="J42" s="5">
        <v>0</v>
      </c>
      <c r="K42" s="5">
        <f>SUM(I42:J42)</f>
        <v>498063.1</v>
      </c>
      <c r="L42" s="15">
        <f>K42/M42</f>
        <v>498063.1</v>
      </c>
      <c r="M42" s="3">
        <v>1</v>
      </c>
      <c r="N42" s="3">
        <v>0</v>
      </c>
      <c r="O42" s="3">
        <v>1</v>
      </c>
      <c r="P42" s="6">
        <v>45244</v>
      </c>
      <c r="Q42" s="46">
        <f>YEAR(P42)</f>
        <v>2023</v>
      </c>
      <c r="R42" s="4" t="str">
        <f>TEXT(P42, "mmmm")</f>
        <v>November</v>
      </c>
      <c r="S42" s="4">
        <f>DAY(P42)</f>
        <v>14</v>
      </c>
      <c r="T42" s="42">
        <v>45243</v>
      </c>
      <c r="U42" s="7">
        <f>YEAR(T42)</f>
        <v>2023</v>
      </c>
      <c r="V42" s="4" t="str">
        <f>TEXT(T42, "mmmm")</f>
        <v>November</v>
      </c>
      <c r="W42" s="4">
        <f>DAY(T42)</f>
        <v>13</v>
      </c>
      <c r="X42" s="8">
        <f>M42/$M$133</f>
        <v>2.5265285497726126E-4</v>
      </c>
      <c r="Y42" s="8">
        <f>N42/$N$133</f>
        <v>0</v>
      </c>
      <c r="Z42" s="9">
        <f>O42/$O$133</f>
        <v>1.4560279557367502E-4</v>
      </c>
      <c r="AA42" s="10">
        <f>N42/M42</f>
        <v>0</v>
      </c>
      <c r="AB42" s="11" t="str">
        <f>_xlfn.XLOOKUP(M42, $A$114:$A$117, $B$114:$B$117, , 1)</f>
        <v>Hares</v>
      </c>
    </row>
    <row r="43" spans="3:28" s="11" customFormat="1">
      <c r="C43" s="3" t="s">
        <v>62</v>
      </c>
      <c r="D43" s="3" t="s">
        <v>26</v>
      </c>
      <c r="E43" s="3" t="s">
        <v>27</v>
      </c>
      <c r="F43" s="5">
        <v>457803</v>
      </c>
      <c r="G43" s="5">
        <f>F43*5%</f>
        <v>22890.15</v>
      </c>
      <c r="H43" s="5">
        <v>10000</v>
      </c>
      <c r="I43" s="5">
        <f>SUM(F43:H43)</f>
        <v>490693.15</v>
      </c>
      <c r="J43" s="5">
        <v>0</v>
      </c>
      <c r="K43" s="5">
        <f>SUM(I43:J43)</f>
        <v>490693.15</v>
      </c>
      <c r="L43" s="5">
        <f>K43/M43</f>
        <v>490693.15</v>
      </c>
      <c r="M43" s="3">
        <v>1</v>
      </c>
      <c r="N43" s="3">
        <v>0</v>
      </c>
      <c r="O43" s="3">
        <v>1</v>
      </c>
      <c r="P43" s="6">
        <v>45273</v>
      </c>
      <c r="Q43" s="46">
        <f>YEAR(P43)</f>
        <v>2023</v>
      </c>
      <c r="R43" s="4" t="str">
        <f>TEXT(P43, "mmmm")</f>
        <v>December</v>
      </c>
      <c r="S43" s="4">
        <f>DAY(P43)</f>
        <v>13</v>
      </c>
      <c r="T43" s="42">
        <v>45272</v>
      </c>
      <c r="U43" s="7">
        <f>YEAR(T43)</f>
        <v>2023</v>
      </c>
      <c r="V43" s="4" t="str">
        <f>TEXT(T43, "mmmm")</f>
        <v>December</v>
      </c>
      <c r="W43" s="4">
        <f>DAY(T43)</f>
        <v>12</v>
      </c>
      <c r="X43" s="8">
        <f>M43/$M$133</f>
        <v>2.5265285497726126E-4</v>
      </c>
      <c r="Y43" s="8">
        <f>N43/$N$133</f>
        <v>0</v>
      </c>
      <c r="Z43" s="9">
        <f>O43/$O$133</f>
        <v>1.4560279557367502E-4</v>
      </c>
      <c r="AA43" s="10">
        <f>N43/M43</f>
        <v>0</v>
      </c>
      <c r="AB43" s="11" t="str">
        <f>_xlfn.XLOOKUP(M43, $A$114:$A$117, $B$114:$B$117, , 1)</f>
        <v>Hares</v>
      </c>
    </row>
    <row r="44" spans="3:28" s="11" customFormat="1">
      <c r="C44" s="3" t="s">
        <v>69</v>
      </c>
      <c r="D44" s="3" t="s">
        <v>26</v>
      </c>
      <c r="E44" s="3" t="s">
        <v>27</v>
      </c>
      <c r="F44" s="5">
        <v>457803</v>
      </c>
      <c r="G44" s="5">
        <f>F44*5%</f>
        <v>22890.15</v>
      </c>
      <c r="H44" s="5">
        <v>10000</v>
      </c>
      <c r="I44" s="5">
        <f>SUM(F44:H44)</f>
        <v>490693.15</v>
      </c>
      <c r="J44" s="5">
        <v>0</v>
      </c>
      <c r="K44" s="5">
        <f>SUM(I44:J44)</f>
        <v>490693.15</v>
      </c>
      <c r="L44" s="5">
        <f>K44/M44</f>
        <v>490693.15</v>
      </c>
      <c r="M44" s="3">
        <v>1</v>
      </c>
      <c r="N44" s="3">
        <v>0</v>
      </c>
      <c r="O44" s="3">
        <f>M44+N44</f>
        <v>1</v>
      </c>
      <c r="P44" s="6">
        <v>45316</v>
      </c>
      <c r="Q44" s="46">
        <f>YEAR(P44)</f>
        <v>2024</v>
      </c>
      <c r="R44" s="4" t="str">
        <f>TEXT(P44, "mmmm")</f>
        <v>January</v>
      </c>
      <c r="S44" s="4">
        <f>DAY(P44)</f>
        <v>25</v>
      </c>
      <c r="T44" s="42">
        <v>45681</v>
      </c>
      <c r="U44" s="7">
        <f>YEAR(T44)</f>
        <v>2025</v>
      </c>
      <c r="V44" s="4" t="str">
        <f>TEXT(T44, "mmmm")</f>
        <v>January</v>
      </c>
      <c r="W44" s="4">
        <f>DAY(T44)</f>
        <v>24</v>
      </c>
      <c r="X44" s="8">
        <f>M44/$M$133</f>
        <v>2.5265285497726126E-4</v>
      </c>
      <c r="Y44" s="8">
        <f>N44/$N$133</f>
        <v>0</v>
      </c>
      <c r="Z44" s="9">
        <f>O44/$O$133</f>
        <v>1.4560279557367502E-4</v>
      </c>
      <c r="AA44" s="10">
        <f>N44/M44</f>
        <v>0</v>
      </c>
      <c r="AB44" s="11" t="str">
        <f>_xlfn.XLOOKUP(M44, $A$114:$A$117, $B$114:$B$117, , 1)</f>
        <v>Hares</v>
      </c>
    </row>
    <row r="45" spans="3:28" s="11" customFormat="1">
      <c r="C45" s="3" t="s">
        <v>75</v>
      </c>
      <c r="D45" s="3" t="s">
        <v>26</v>
      </c>
      <c r="E45" s="3" t="s">
        <v>27</v>
      </c>
      <c r="F45" s="5">
        <v>22693363</v>
      </c>
      <c r="G45" s="5">
        <f>F45*5%</f>
        <v>1134668.1500000001</v>
      </c>
      <c r="H45" s="5">
        <v>720000</v>
      </c>
      <c r="I45" s="5">
        <f>SUM(F45:H45)</f>
        <v>24548031.149999999</v>
      </c>
      <c r="J45" s="5">
        <v>0</v>
      </c>
      <c r="K45" s="5">
        <f>SUM(I45:J45)</f>
        <v>24548031.149999999</v>
      </c>
      <c r="L45" s="5">
        <f>K45/M45</f>
        <v>454593.16944444441</v>
      </c>
      <c r="M45" s="3">
        <v>54</v>
      </c>
      <c r="N45" s="3">
        <f>72-54</f>
        <v>18</v>
      </c>
      <c r="O45" s="3">
        <f>M45+N45</f>
        <v>72</v>
      </c>
      <c r="P45" s="6">
        <v>45344</v>
      </c>
      <c r="Q45" s="46">
        <f>YEAR(P45)</f>
        <v>2024</v>
      </c>
      <c r="R45" s="4" t="str">
        <f>TEXT(P45, "mmmm")</f>
        <v>February</v>
      </c>
      <c r="S45" s="4">
        <f>DAY(P45)</f>
        <v>22</v>
      </c>
      <c r="T45" s="42">
        <v>45709</v>
      </c>
      <c r="U45" s="7">
        <f>YEAR(T45)</f>
        <v>2025</v>
      </c>
      <c r="V45" s="4" t="str">
        <f>TEXT(T45, "mmmm")</f>
        <v>February</v>
      </c>
      <c r="W45" s="4">
        <f>DAY(T45)</f>
        <v>21</v>
      </c>
      <c r="X45" s="8">
        <f>M45/$M$133</f>
        <v>1.3643254168772108E-2</v>
      </c>
      <c r="Y45" s="8">
        <f>N45/$N$133</f>
        <v>5.5813953488372094E-3</v>
      </c>
      <c r="Z45" s="9">
        <f>O45/$O$133</f>
        <v>1.0483401281304601E-2</v>
      </c>
      <c r="AA45" s="10">
        <f>N45/M45</f>
        <v>0.33333333333333331</v>
      </c>
      <c r="AB45" s="11" t="str">
        <f>_xlfn.XLOOKUP(M45, $A$114:$A$117, $B$114:$B$117, , 1)</f>
        <v>Tigers</v>
      </c>
    </row>
    <row r="46" spans="3:28" s="11" customFormat="1">
      <c r="C46" s="3" t="s">
        <v>50</v>
      </c>
      <c r="D46" s="3" t="s">
        <v>26</v>
      </c>
      <c r="E46" s="3" t="s">
        <v>27</v>
      </c>
      <c r="F46" s="4">
        <v>150324600</v>
      </c>
      <c r="G46" s="4">
        <f>F46*5%</f>
        <v>7516230</v>
      </c>
      <c r="H46" s="4">
        <v>1434000</v>
      </c>
      <c r="I46" s="5">
        <f>SUM(F46:H46)</f>
        <v>159274830</v>
      </c>
      <c r="J46" s="4">
        <v>0</v>
      </c>
      <c r="K46" s="5">
        <f>SUM(I46:J46)</f>
        <v>159274830</v>
      </c>
      <c r="L46" s="5">
        <f>K46/M46</f>
        <v>403227.41772151901</v>
      </c>
      <c r="M46" s="3">
        <v>395</v>
      </c>
      <c r="N46" s="3">
        <v>395</v>
      </c>
      <c r="O46" s="3">
        <f>395+80</f>
        <v>475</v>
      </c>
      <c r="P46" s="6">
        <v>45204</v>
      </c>
      <c r="Q46" s="46">
        <f>YEAR(P46)</f>
        <v>2023</v>
      </c>
      <c r="R46" s="4" t="str">
        <f>TEXT(P46, "mmmm")</f>
        <v>October</v>
      </c>
      <c r="S46" s="4">
        <f>DAY(P46)</f>
        <v>5</v>
      </c>
      <c r="T46" s="42">
        <v>45569</v>
      </c>
      <c r="U46" s="7">
        <f>YEAR(T46)</f>
        <v>2024</v>
      </c>
      <c r="V46" s="4" t="str">
        <f>TEXT(T46, "mmmm")</f>
        <v>October</v>
      </c>
      <c r="W46" s="4">
        <f>DAY(T46)</f>
        <v>4</v>
      </c>
      <c r="X46" s="8">
        <f>M46/$M$133</f>
        <v>9.9797877716018196E-2</v>
      </c>
      <c r="Y46" s="8">
        <f>N46/$N$133</f>
        <v>0.12248062015503876</v>
      </c>
      <c r="Z46" s="9">
        <f>O46/$O$133</f>
        <v>6.9161327897495628E-2</v>
      </c>
      <c r="AA46" s="10">
        <f>N46/M46</f>
        <v>1</v>
      </c>
      <c r="AB46" s="11" t="str">
        <f>_xlfn.XLOOKUP(M46, $A$114:$A$117, $B$114:$B$117, , 1)</f>
        <v>Elephants</v>
      </c>
    </row>
    <row r="47" spans="3:28" s="11" customFormat="1">
      <c r="C47" s="3" t="s">
        <v>46</v>
      </c>
      <c r="D47" s="3" t="s">
        <v>26</v>
      </c>
      <c r="E47" s="3" t="s">
        <v>27</v>
      </c>
      <c r="F47" s="4">
        <f>16805892+305552290</f>
        <v>322358182</v>
      </c>
      <c r="G47" s="4">
        <f>F47*5%</f>
        <v>16117909.100000001</v>
      </c>
      <c r="H47" s="4">
        <f>2000000+320000</f>
        <v>2320000</v>
      </c>
      <c r="I47" s="5">
        <f>SUM(F47:H47)</f>
        <v>340796091.10000002</v>
      </c>
      <c r="J47" s="4">
        <v>0</v>
      </c>
      <c r="K47" s="5">
        <f>SUM(I47:J47)</f>
        <v>340796091.10000002</v>
      </c>
      <c r="L47" s="5">
        <f>K47/M47</f>
        <v>367237.16713362071</v>
      </c>
      <c r="M47" s="3">
        <v>928</v>
      </c>
      <c r="N47" s="3">
        <f>O47-M47</f>
        <v>0</v>
      </c>
      <c r="O47" s="3">
        <v>928</v>
      </c>
      <c r="P47" s="6">
        <v>45170</v>
      </c>
      <c r="Q47" s="46">
        <f>YEAR(P47)</f>
        <v>2023</v>
      </c>
      <c r="R47" s="4" t="str">
        <f>TEXT(P47, "mmmm")</f>
        <v>September</v>
      </c>
      <c r="S47" s="4">
        <f>DAY(P47)</f>
        <v>1</v>
      </c>
      <c r="T47" s="42">
        <v>45535</v>
      </c>
      <c r="U47" s="7">
        <f>YEAR(T47)</f>
        <v>2024</v>
      </c>
      <c r="V47" s="4" t="str">
        <f>TEXT(T47, "mmmm")</f>
        <v>August</v>
      </c>
      <c r="W47" s="4">
        <f>DAY(T47)</f>
        <v>31</v>
      </c>
      <c r="X47" s="8">
        <f>M47/$M$133</f>
        <v>0.23446184941889844</v>
      </c>
      <c r="Y47" s="8">
        <f>N47/$N$133</f>
        <v>0</v>
      </c>
      <c r="Z47" s="9">
        <f>O47/$O$133</f>
        <v>0.13511939429237041</v>
      </c>
      <c r="AA47" s="10">
        <f>N47/M47</f>
        <v>0</v>
      </c>
      <c r="AB47" s="11" t="str">
        <f>_xlfn.XLOOKUP(M47, $A$114:$A$117, $B$114:$B$117, , 1)</f>
        <v>Whales</v>
      </c>
    </row>
    <row r="48" spans="3:28" s="11" customFormat="1">
      <c r="C48" s="3" t="s">
        <v>49</v>
      </c>
      <c r="D48" s="3" t="s">
        <v>26</v>
      </c>
      <c r="E48" s="3" t="s">
        <v>27</v>
      </c>
      <c r="F48" s="4">
        <v>2763650</v>
      </c>
      <c r="G48" s="4">
        <f>F48*5%</f>
        <v>138182.5</v>
      </c>
      <c r="H48" s="4">
        <v>170000</v>
      </c>
      <c r="I48" s="5">
        <f>SUM(F48:H48)</f>
        <v>3071832.5</v>
      </c>
      <c r="J48" s="4">
        <v>0</v>
      </c>
      <c r="K48" s="5">
        <f>SUM(I48:J48)</f>
        <v>3071832.5</v>
      </c>
      <c r="L48" s="5">
        <f>K48/M48</f>
        <v>341314.72222222225</v>
      </c>
      <c r="M48" s="3">
        <v>9</v>
      </c>
      <c r="N48" s="3">
        <f>O48-M48</f>
        <v>8</v>
      </c>
      <c r="O48" s="3">
        <v>17</v>
      </c>
      <c r="P48" s="6">
        <v>45194</v>
      </c>
      <c r="Q48" s="46">
        <f>YEAR(P48)</f>
        <v>2023</v>
      </c>
      <c r="R48" s="4" t="str">
        <f>TEXT(P48, "mmmm")</f>
        <v>September</v>
      </c>
      <c r="S48" s="4">
        <f>DAY(P48)</f>
        <v>25</v>
      </c>
      <c r="T48" s="42">
        <v>45559</v>
      </c>
      <c r="U48" s="7">
        <f>YEAR(T48)</f>
        <v>2024</v>
      </c>
      <c r="V48" s="4" t="str">
        <f>TEXT(T48, "mmmm")</f>
        <v>September</v>
      </c>
      <c r="W48" s="4">
        <f>DAY(T48)</f>
        <v>24</v>
      </c>
      <c r="X48" s="8">
        <f>M48/$M$133</f>
        <v>2.2738756947953513E-3</v>
      </c>
      <c r="Y48" s="8">
        <f>N48/$N$133</f>
        <v>2.4806201550387598E-3</v>
      </c>
      <c r="Z48" s="9">
        <f>O48/$O$133</f>
        <v>2.4752475247524753E-3</v>
      </c>
      <c r="AA48" s="10">
        <f>N48/M48</f>
        <v>0.88888888888888884</v>
      </c>
      <c r="AB48" s="11" t="str">
        <f>_xlfn.XLOOKUP(M48, $A$114:$A$117, $B$114:$B$117, , 1)</f>
        <v>Hares</v>
      </c>
    </row>
    <row r="49" spans="3:28" s="11" customFormat="1">
      <c r="C49" s="3" t="s">
        <v>28</v>
      </c>
      <c r="D49" s="3" t="s">
        <v>26</v>
      </c>
      <c r="E49" s="3" t="s">
        <v>29</v>
      </c>
      <c r="F49" s="4">
        <v>8621293</v>
      </c>
      <c r="G49" s="4">
        <f>F49*5%</f>
        <v>431064.65</v>
      </c>
      <c r="H49" s="4">
        <v>480000</v>
      </c>
      <c r="I49" s="5">
        <f>SUM(F49:H49)</f>
        <v>9532357.6500000004</v>
      </c>
      <c r="J49" s="4">
        <v>0</v>
      </c>
      <c r="K49" s="5">
        <f>SUM(I49:J49)</f>
        <v>9532357.6500000004</v>
      </c>
      <c r="L49" s="5">
        <f>K49/M49</f>
        <v>198590.78437500002</v>
      </c>
      <c r="M49" s="3">
        <v>48</v>
      </c>
      <c r="N49" s="3">
        <f>O49-M49</f>
        <v>0</v>
      </c>
      <c r="O49" s="3">
        <v>48</v>
      </c>
      <c r="P49" s="6">
        <v>44987</v>
      </c>
      <c r="Q49" s="46">
        <f>YEAR(P49)</f>
        <v>2023</v>
      </c>
      <c r="R49" s="4" t="str">
        <f>TEXT(P49, "mmmm")</f>
        <v>March</v>
      </c>
      <c r="S49" s="4">
        <f>DAY(P49)</f>
        <v>2</v>
      </c>
      <c r="T49" s="42">
        <v>45077</v>
      </c>
      <c r="U49" s="7">
        <f>YEAR(T49)</f>
        <v>2023</v>
      </c>
      <c r="V49" s="4" t="str">
        <f>TEXT(T49, "mmmm")</f>
        <v>May</v>
      </c>
      <c r="W49" s="4">
        <f>DAY(T49)</f>
        <v>31</v>
      </c>
      <c r="X49" s="8">
        <f>M49/$M$133</f>
        <v>1.212733703890854E-2</v>
      </c>
      <c r="Y49" s="8">
        <f>N49/$N$133</f>
        <v>0</v>
      </c>
      <c r="Z49" s="9">
        <f>O49/$O$133</f>
        <v>6.9889341875364009E-3</v>
      </c>
      <c r="AA49" s="10">
        <f>N49/M49</f>
        <v>0</v>
      </c>
      <c r="AB49" s="11" t="str">
        <f>_xlfn.XLOOKUP(M49, $A$114:$A$117, $B$114:$B$117, , 1)</f>
        <v>Tigers</v>
      </c>
    </row>
    <row r="50" spans="3:28" s="11" customFormat="1">
      <c r="C50" s="12" t="s">
        <v>51</v>
      </c>
      <c r="D50" s="12" t="s">
        <v>26</v>
      </c>
      <c r="E50" s="3" t="s">
        <v>35</v>
      </c>
      <c r="F50" s="4">
        <v>23189154</v>
      </c>
      <c r="G50" s="4">
        <f>F50*5%</f>
        <v>1159457.7</v>
      </c>
      <c r="H50" s="4">
        <v>340000</v>
      </c>
      <c r="I50" s="16">
        <f>SUM(F50:H50)</f>
        <v>24688611.699999999</v>
      </c>
      <c r="J50" s="4">
        <v>0</v>
      </c>
      <c r="K50" s="16">
        <f>SUM(I50:J50)</f>
        <v>24688611.699999999</v>
      </c>
      <c r="L50" s="16">
        <f>K50/M50</f>
        <v>1234430.585</v>
      </c>
      <c r="M50" s="3">
        <v>20</v>
      </c>
      <c r="N50" s="3">
        <f>O50-M50</f>
        <v>48</v>
      </c>
      <c r="O50" s="3">
        <v>68</v>
      </c>
      <c r="P50" s="6">
        <v>45206</v>
      </c>
      <c r="Q50" s="46">
        <f>YEAR(P50)</f>
        <v>2023</v>
      </c>
      <c r="R50" s="4" t="str">
        <f>TEXT(P50, "mmmm")</f>
        <v>October</v>
      </c>
      <c r="S50" s="4">
        <f>DAY(P50)</f>
        <v>7</v>
      </c>
      <c r="T50" s="42">
        <v>45571</v>
      </c>
      <c r="U50" s="7">
        <f>YEAR(T50)</f>
        <v>2024</v>
      </c>
      <c r="V50" s="4" t="str">
        <f>TEXT(T50, "mmmm")</f>
        <v>October</v>
      </c>
      <c r="W50" s="4">
        <f>DAY(T50)</f>
        <v>6</v>
      </c>
      <c r="X50" s="8">
        <f>M50/$M$133</f>
        <v>5.053057099545225E-3</v>
      </c>
      <c r="Y50" s="8">
        <f>N50/$N$133</f>
        <v>1.4883720930232559E-2</v>
      </c>
      <c r="Z50" s="9">
        <f>O50/$O$133</f>
        <v>9.9009900990099011E-3</v>
      </c>
      <c r="AA50" s="14">
        <f>N50/M50</f>
        <v>2.4</v>
      </c>
      <c r="AB50" s="11" t="str">
        <f>_xlfn.XLOOKUP(M50, $A$114:$A$117, $B$114:$B$117, , 1)</f>
        <v>Hares</v>
      </c>
    </row>
    <row r="51" spans="3:28">
      <c r="C51" s="25" t="s">
        <v>88</v>
      </c>
      <c r="D51" s="25" t="s">
        <v>26</v>
      </c>
      <c r="E51" s="25" t="s">
        <v>27</v>
      </c>
      <c r="F51" s="30">
        <v>379939</v>
      </c>
      <c r="G51" s="4">
        <f>F51*5%</f>
        <v>18996.95</v>
      </c>
      <c r="H51" s="30">
        <v>10000</v>
      </c>
      <c r="I51" s="4">
        <f t="shared" ref="I34:I65" si="0">SUM(F51:H51)</f>
        <v>408935.95</v>
      </c>
      <c r="J51" s="30">
        <v>0</v>
      </c>
      <c r="K51" s="4">
        <f t="shared" ref="K34:K65" si="1">SUM(I51:J51)</f>
        <v>408935.95</v>
      </c>
      <c r="L51" s="4">
        <f>K51/M51</f>
        <v>408935.95</v>
      </c>
      <c r="M51" s="25">
        <v>1</v>
      </c>
      <c r="N51" s="25">
        <v>0</v>
      </c>
      <c r="O51" s="3">
        <f>M51+N51</f>
        <v>1</v>
      </c>
      <c r="P51" s="33">
        <v>45356</v>
      </c>
      <c r="Q51" s="46">
        <f>YEAR(P51)</f>
        <v>2024</v>
      </c>
      <c r="R51" s="4" t="str">
        <f>TEXT(P51, "mmmm")</f>
        <v>March</v>
      </c>
      <c r="S51" s="4">
        <f>DAY(P51)</f>
        <v>5</v>
      </c>
      <c r="T51" s="36">
        <v>45720</v>
      </c>
      <c r="U51" s="7">
        <f>YEAR(T51)</f>
        <v>2025</v>
      </c>
      <c r="V51" s="4" t="str">
        <f>TEXT(T51, "mmmm")</f>
        <v>March</v>
      </c>
      <c r="W51" s="4">
        <f>DAY(T50)</f>
        <v>6</v>
      </c>
      <c r="X51" s="41">
        <f t="shared" ref="X34:X65" si="2">M51/$M$133</f>
        <v>2.5265285497726126E-4</v>
      </c>
      <c r="Y51" s="41">
        <f t="shared" ref="Y34:Y65" si="3">N51/$N$133</f>
        <v>0</v>
      </c>
      <c r="Z51" s="44">
        <f t="shared" ref="Z34:Z65" si="4">O51/$O$133</f>
        <v>1.4560279557367502E-4</v>
      </c>
      <c r="AA51" s="10">
        <f>N51/M51</f>
        <v>0</v>
      </c>
      <c r="AB51" s="45" t="str">
        <f t="shared" ref="AB34:AB65" si="5">_xlfn.XLOOKUP(M51, $A$114:$A$117, $B$114:$B$117, , 1)</f>
        <v>Hares</v>
      </c>
    </row>
    <row r="52" spans="3:28">
      <c r="C52" s="25" t="s">
        <v>89</v>
      </c>
      <c r="D52" s="25" t="s">
        <v>33</v>
      </c>
      <c r="E52" s="25" t="s">
        <v>27</v>
      </c>
      <c r="F52" s="30">
        <v>3808773</v>
      </c>
      <c r="G52" s="4">
        <f t="shared" ref="G52:G115" si="6">F52*5%</f>
        <v>190438.65000000002</v>
      </c>
      <c r="H52" s="30">
        <v>170000</v>
      </c>
      <c r="I52" s="4">
        <f t="shared" si="0"/>
        <v>4169211.65</v>
      </c>
      <c r="J52" s="30">
        <f>6435139+510000+91800</f>
        <v>7036939</v>
      </c>
      <c r="K52" s="4">
        <f t="shared" si="1"/>
        <v>11206150.65</v>
      </c>
      <c r="L52" s="4">
        <f t="shared" ref="L52:L115" si="7">K52/M52</f>
        <v>589797.40263157897</v>
      </c>
      <c r="M52" s="25">
        <v>19</v>
      </c>
      <c r="N52" s="25">
        <f>34-17</f>
        <v>17</v>
      </c>
      <c r="O52" s="3">
        <f t="shared" ref="O52:O115" si="8">M52+N52</f>
        <v>36</v>
      </c>
      <c r="P52" s="33">
        <v>45362</v>
      </c>
      <c r="Q52" s="46">
        <f t="shared" ref="Q52:Q115" si="9">YEAR(P52)</f>
        <v>2024</v>
      </c>
      <c r="R52" s="4" t="str">
        <f t="shared" ref="R52:R115" si="10">TEXT(P52, "mmmm")</f>
        <v>March</v>
      </c>
      <c r="S52" s="4">
        <f t="shared" ref="S52:S115" si="11">DAY(P52)</f>
        <v>11</v>
      </c>
      <c r="T52" s="36">
        <v>45726</v>
      </c>
      <c r="U52" s="7">
        <f t="shared" ref="U52:U115" si="12">YEAR(T52)</f>
        <v>2025</v>
      </c>
      <c r="V52" s="4" t="str">
        <f t="shared" ref="V52:V115" si="13">TEXT(T52, "mmmm")</f>
        <v>March</v>
      </c>
      <c r="W52" s="4">
        <f t="shared" ref="W52:W115" si="14">DAY(T51)</f>
        <v>4</v>
      </c>
      <c r="X52" s="41">
        <f t="shared" si="2"/>
        <v>4.8004042445679634E-3</v>
      </c>
      <c r="Y52" s="41">
        <f t="shared" si="3"/>
        <v>5.2713178294573641E-3</v>
      </c>
      <c r="Z52" s="44">
        <f t="shared" si="4"/>
        <v>5.2417006406523005E-3</v>
      </c>
      <c r="AA52" s="10">
        <f t="shared" ref="AA52:AA115" si="15">N52/M52</f>
        <v>0.89473684210526316</v>
      </c>
      <c r="AB52" s="45" t="str">
        <f t="shared" si="5"/>
        <v>Hares</v>
      </c>
    </row>
    <row r="53" spans="3:28">
      <c r="C53" s="25" t="s">
        <v>30</v>
      </c>
      <c r="D53" s="25" t="s">
        <v>26</v>
      </c>
      <c r="E53" s="25" t="s">
        <v>27</v>
      </c>
      <c r="F53" s="30">
        <v>34306666</v>
      </c>
      <c r="G53" s="4">
        <f t="shared" si="6"/>
        <v>1715333.3</v>
      </c>
      <c r="H53" s="30">
        <v>0</v>
      </c>
      <c r="I53" s="4">
        <f t="shared" si="0"/>
        <v>36021999.299999997</v>
      </c>
      <c r="J53" s="30">
        <v>0</v>
      </c>
      <c r="K53" s="4">
        <f t="shared" si="1"/>
        <v>36021999.299999997</v>
      </c>
      <c r="L53" s="4">
        <f t="shared" si="7"/>
        <v>1000611.0916666666</v>
      </c>
      <c r="M53" s="25">
        <v>36</v>
      </c>
      <c r="N53" s="25">
        <f>105-36</f>
        <v>69</v>
      </c>
      <c r="O53" s="3">
        <f t="shared" si="8"/>
        <v>105</v>
      </c>
      <c r="P53" s="33">
        <v>45359</v>
      </c>
      <c r="Q53" s="46">
        <f t="shared" si="9"/>
        <v>2024</v>
      </c>
      <c r="R53" s="4" t="str">
        <f t="shared" si="10"/>
        <v>March</v>
      </c>
      <c r="S53" s="4">
        <f t="shared" si="11"/>
        <v>8</v>
      </c>
      <c r="T53" s="36">
        <v>45723</v>
      </c>
      <c r="U53" s="7">
        <f t="shared" si="12"/>
        <v>2025</v>
      </c>
      <c r="V53" s="4" t="str">
        <f t="shared" si="13"/>
        <v>March</v>
      </c>
      <c r="W53" s="4">
        <f t="shared" si="14"/>
        <v>10</v>
      </c>
      <c r="X53" s="41">
        <f t="shared" si="2"/>
        <v>9.0955027791814053E-3</v>
      </c>
      <c r="Y53" s="41">
        <f t="shared" si="3"/>
        <v>2.1395348837209303E-2</v>
      </c>
      <c r="Z53" s="44">
        <f t="shared" si="4"/>
        <v>1.5288293535235876E-2</v>
      </c>
      <c r="AA53" s="10">
        <f t="shared" si="15"/>
        <v>1.9166666666666667</v>
      </c>
      <c r="AB53" s="45" t="str">
        <f t="shared" si="5"/>
        <v>Tigers</v>
      </c>
    </row>
    <row r="54" spans="3:28">
      <c r="C54" s="25" t="s">
        <v>90</v>
      </c>
      <c r="D54" s="25" t="s">
        <v>26</v>
      </c>
      <c r="E54" s="25" t="s">
        <v>27</v>
      </c>
      <c r="F54" s="30">
        <v>17137620</v>
      </c>
      <c r="G54" s="4">
        <f t="shared" si="6"/>
        <v>856881</v>
      </c>
      <c r="H54" s="30">
        <v>480000</v>
      </c>
      <c r="I54" s="4">
        <f t="shared" si="0"/>
        <v>18474501</v>
      </c>
      <c r="J54" s="30">
        <v>0</v>
      </c>
      <c r="K54" s="4">
        <f t="shared" si="1"/>
        <v>18474501</v>
      </c>
      <c r="L54" s="4">
        <f t="shared" si="7"/>
        <v>1539541.75</v>
      </c>
      <c r="M54" s="25">
        <v>12</v>
      </c>
      <c r="N54" s="25">
        <v>36</v>
      </c>
      <c r="O54" s="3">
        <f t="shared" si="8"/>
        <v>48</v>
      </c>
      <c r="P54" s="33">
        <v>45361</v>
      </c>
      <c r="Q54" s="46">
        <f t="shared" si="9"/>
        <v>2024</v>
      </c>
      <c r="R54" s="4" t="str">
        <f t="shared" si="10"/>
        <v>March</v>
      </c>
      <c r="S54" s="4">
        <f t="shared" si="11"/>
        <v>10</v>
      </c>
      <c r="T54" s="36">
        <v>45725</v>
      </c>
      <c r="U54" s="7">
        <f t="shared" si="12"/>
        <v>2025</v>
      </c>
      <c r="V54" s="4" t="str">
        <f t="shared" si="13"/>
        <v>March</v>
      </c>
      <c r="W54" s="4">
        <f t="shared" si="14"/>
        <v>7</v>
      </c>
      <c r="X54" s="41">
        <f t="shared" si="2"/>
        <v>3.0318342597271349E-3</v>
      </c>
      <c r="Y54" s="41">
        <f t="shared" si="3"/>
        <v>1.1162790697674419E-2</v>
      </c>
      <c r="Z54" s="44">
        <f t="shared" si="4"/>
        <v>6.9889341875364009E-3</v>
      </c>
      <c r="AA54" s="10">
        <f t="shared" si="15"/>
        <v>3</v>
      </c>
      <c r="AB54" s="45" t="str">
        <f t="shared" si="5"/>
        <v>Hares</v>
      </c>
    </row>
    <row r="55" spans="3:28">
      <c r="C55" s="25" t="s">
        <v>91</v>
      </c>
      <c r="D55" s="25" t="s">
        <v>33</v>
      </c>
      <c r="E55" s="25" t="s">
        <v>27</v>
      </c>
      <c r="F55" s="30">
        <v>4210083</v>
      </c>
      <c r="G55" s="4">
        <f t="shared" si="6"/>
        <v>210504.15000000002</v>
      </c>
      <c r="H55" s="30">
        <v>265000</v>
      </c>
      <c r="I55" s="4">
        <f t="shared" si="0"/>
        <v>4685587.1500000004</v>
      </c>
      <c r="J55" s="30">
        <f>8867296+2280000+410400</f>
        <v>11557696</v>
      </c>
      <c r="K55" s="4">
        <f t="shared" si="1"/>
        <v>16243283.15</v>
      </c>
      <c r="L55" s="4">
        <f t="shared" si="7"/>
        <v>324865.663</v>
      </c>
      <c r="M55" s="25">
        <v>50</v>
      </c>
      <c r="N55" s="25">
        <v>100</v>
      </c>
      <c r="O55" s="3">
        <f t="shared" si="8"/>
        <v>150</v>
      </c>
      <c r="P55" s="33">
        <v>45363</v>
      </c>
      <c r="Q55" s="46">
        <f t="shared" si="9"/>
        <v>2024</v>
      </c>
      <c r="R55" s="4" t="str">
        <f t="shared" si="10"/>
        <v>March</v>
      </c>
      <c r="S55" s="4">
        <f t="shared" si="11"/>
        <v>12</v>
      </c>
      <c r="T55" s="36">
        <v>45727</v>
      </c>
      <c r="U55" s="7">
        <f t="shared" si="12"/>
        <v>2025</v>
      </c>
      <c r="V55" s="4" t="str">
        <f t="shared" si="13"/>
        <v>March</v>
      </c>
      <c r="W55" s="4">
        <f t="shared" si="14"/>
        <v>9</v>
      </c>
      <c r="X55" s="41">
        <f t="shared" si="2"/>
        <v>1.2632642748863061E-2</v>
      </c>
      <c r="Y55" s="41">
        <f t="shared" si="3"/>
        <v>3.1007751937984496E-2</v>
      </c>
      <c r="Z55" s="44">
        <f t="shared" si="4"/>
        <v>2.1840419336051253E-2</v>
      </c>
      <c r="AA55" s="10">
        <f t="shared" si="15"/>
        <v>2</v>
      </c>
      <c r="AB55" s="45" t="str">
        <f t="shared" si="5"/>
        <v>Tigers</v>
      </c>
    </row>
    <row r="56" spans="3:28">
      <c r="C56" s="25" t="s">
        <v>92</v>
      </c>
      <c r="D56" s="25" t="s">
        <v>26</v>
      </c>
      <c r="E56" s="25" t="s">
        <v>27</v>
      </c>
      <c r="F56" s="30">
        <v>595144</v>
      </c>
      <c r="G56" s="4">
        <f t="shared" si="6"/>
        <v>29757.200000000001</v>
      </c>
      <c r="H56" s="30">
        <v>10000</v>
      </c>
      <c r="I56" s="4">
        <f t="shared" si="0"/>
        <v>634901.19999999995</v>
      </c>
      <c r="J56" s="30">
        <v>0</v>
      </c>
      <c r="K56" s="4">
        <f t="shared" si="1"/>
        <v>634901.19999999995</v>
      </c>
      <c r="L56" s="4">
        <f t="shared" si="7"/>
        <v>634901.19999999995</v>
      </c>
      <c r="M56" s="25">
        <v>1</v>
      </c>
      <c r="N56" s="25">
        <v>0</v>
      </c>
      <c r="O56" s="3">
        <f t="shared" si="8"/>
        <v>1</v>
      </c>
      <c r="P56" s="33">
        <v>45365</v>
      </c>
      <c r="Q56" s="46">
        <f t="shared" si="9"/>
        <v>2024</v>
      </c>
      <c r="R56" s="4" t="str">
        <f t="shared" si="10"/>
        <v>March</v>
      </c>
      <c r="S56" s="4">
        <f t="shared" si="11"/>
        <v>14</v>
      </c>
      <c r="T56" s="36">
        <v>45728</v>
      </c>
      <c r="U56" s="7">
        <f t="shared" si="12"/>
        <v>2025</v>
      </c>
      <c r="V56" s="4" t="str">
        <f t="shared" si="13"/>
        <v>March</v>
      </c>
      <c r="W56" s="4">
        <f t="shared" si="14"/>
        <v>11</v>
      </c>
      <c r="X56" s="41">
        <f t="shared" si="2"/>
        <v>2.5265285497726126E-4</v>
      </c>
      <c r="Y56" s="41">
        <f t="shared" si="3"/>
        <v>0</v>
      </c>
      <c r="Z56" s="44">
        <f t="shared" si="4"/>
        <v>1.4560279557367502E-4</v>
      </c>
      <c r="AA56" s="10">
        <f t="shared" si="15"/>
        <v>0</v>
      </c>
      <c r="AB56" s="45" t="str">
        <f t="shared" si="5"/>
        <v>Hares</v>
      </c>
    </row>
    <row r="57" spans="3:28">
      <c r="C57" s="25" t="s">
        <v>93</v>
      </c>
      <c r="D57" s="25" t="s">
        <v>26</v>
      </c>
      <c r="E57" s="25" t="s">
        <v>35</v>
      </c>
      <c r="F57" s="30">
        <v>2197067</v>
      </c>
      <c r="G57" s="4">
        <f t="shared" si="6"/>
        <v>109853.35</v>
      </c>
      <c r="H57" s="30">
        <v>40000</v>
      </c>
      <c r="I57" s="4">
        <f t="shared" si="0"/>
        <v>2346920.35</v>
      </c>
      <c r="J57" s="30">
        <v>0</v>
      </c>
      <c r="K57" s="4">
        <f t="shared" si="1"/>
        <v>2346920.35</v>
      </c>
      <c r="L57" s="4">
        <f t="shared" si="7"/>
        <v>2346920.35</v>
      </c>
      <c r="M57" s="25">
        <v>1</v>
      </c>
      <c r="N57" s="25">
        <v>3</v>
      </c>
      <c r="O57" s="3">
        <f t="shared" si="8"/>
        <v>4</v>
      </c>
      <c r="P57" s="33">
        <v>45371</v>
      </c>
      <c r="Q57" s="46">
        <f t="shared" si="9"/>
        <v>2024</v>
      </c>
      <c r="R57" s="4" t="str">
        <f t="shared" si="10"/>
        <v>March</v>
      </c>
      <c r="S57" s="4">
        <f t="shared" si="11"/>
        <v>20</v>
      </c>
      <c r="T57" s="36">
        <v>45735</v>
      </c>
      <c r="U57" s="7">
        <f t="shared" si="12"/>
        <v>2025</v>
      </c>
      <c r="V57" s="4" t="str">
        <f t="shared" si="13"/>
        <v>March</v>
      </c>
      <c r="W57" s="4">
        <f t="shared" si="14"/>
        <v>12</v>
      </c>
      <c r="X57" s="41">
        <f t="shared" si="2"/>
        <v>2.5265285497726126E-4</v>
      </c>
      <c r="Y57" s="41">
        <f t="shared" si="3"/>
        <v>9.3023255813953494E-4</v>
      </c>
      <c r="Z57" s="44">
        <f t="shared" si="4"/>
        <v>5.8241118229470008E-4</v>
      </c>
      <c r="AA57" s="10">
        <f t="shared" si="15"/>
        <v>3</v>
      </c>
      <c r="AB57" s="45" t="str">
        <f t="shared" si="5"/>
        <v>Hares</v>
      </c>
    </row>
    <row r="58" spans="3:28">
      <c r="C58" s="25" t="s">
        <v>94</v>
      </c>
      <c r="D58" s="25" t="s">
        <v>26</v>
      </c>
      <c r="E58" s="25" t="s">
        <v>27</v>
      </c>
      <c r="F58" s="30">
        <v>18273873</v>
      </c>
      <c r="G58" s="4">
        <f t="shared" si="6"/>
        <v>913693.65</v>
      </c>
      <c r="H58" s="30">
        <v>480000</v>
      </c>
      <c r="I58" s="4">
        <f t="shared" si="0"/>
        <v>19667566.649999999</v>
      </c>
      <c r="J58" s="30"/>
      <c r="K58" s="4">
        <f t="shared" si="1"/>
        <v>19667566.649999999</v>
      </c>
      <c r="L58" s="4">
        <f t="shared" si="7"/>
        <v>1311171.1099999999</v>
      </c>
      <c r="M58" s="25">
        <v>15</v>
      </c>
      <c r="N58" s="25">
        <v>33</v>
      </c>
      <c r="O58" s="3">
        <f t="shared" si="8"/>
        <v>48</v>
      </c>
      <c r="P58" s="33">
        <v>45378</v>
      </c>
      <c r="Q58" s="46">
        <f t="shared" si="9"/>
        <v>2024</v>
      </c>
      <c r="R58" s="4" t="str">
        <f t="shared" si="10"/>
        <v>March</v>
      </c>
      <c r="S58" s="4">
        <f t="shared" si="11"/>
        <v>27</v>
      </c>
      <c r="T58" s="36">
        <v>45742</v>
      </c>
      <c r="U58" s="7">
        <f t="shared" si="12"/>
        <v>2025</v>
      </c>
      <c r="V58" s="4" t="str">
        <f t="shared" si="13"/>
        <v>March</v>
      </c>
      <c r="W58" s="4">
        <f t="shared" si="14"/>
        <v>19</v>
      </c>
      <c r="X58" s="41">
        <f t="shared" si="2"/>
        <v>3.7897928246589186E-3</v>
      </c>
      <c r="Y58" s="41">
        <f t="shared" si="3"/>
        <v>1.0232558139534883E-2</v>
      </c>
      <c r="Z58" s="44">
        <f t="shared" si="4"/>
        <v>6.9889341875364009E-3</v>
      </c>
      <c r="AA58" s="10">
        <f t="shared" si="15"/>
        <v>2.2000000000000002</v>
      </c>
      <c r="AB58" s="45" t="str">
        <f t="shared" si="5"/>
        <v>Hares</v>
      </c>
    </row>
    <row r="59" spans="3:28">
      <c r="C59" s="25" t="s">
        <v>95</v>
      </c>
      <c r="D59" s="25" t="s">
        <v>26</v>
      </c>
      <c r="E59" s="25" t="s">
        <v>27</v>
      </c>
      <c r="F59" s="30">
        <v>1222368</v>
      </c>
      <c r="G59" s="4">
        <f t="shared" si="6"/>
        <v>61118.400000000001</v>
      </c>
      <c r="H59" s="30">
        <v>30000</v>
      </c>
      <c r="I59" s="4">
        <f t="shared" si="0"/>
        <v>1313486.3999999999</v>
      </c>
      <c r="J59" s="30">
        <v>0</v>
      </c>
      <c r="K59" s="4">
        <f t="shared" si="1"/>
        <v>1313486.3999999999</v>
      </c>
      <c r="L59" s="4">
        <f t="shared" si="7"/>
        <v>437828.8</v>
      </c>
      <c r="M59" s="25">
        <v>3</v>
      </c>
      <c r="N59" s="25">
        <v>0</v>
      </c>
      <c r="O59" s="3">
        <f t="shared" si="8"/>
        <v>3</v>
      </c>
      <c r="P59" s="33">
        <v>45377</v>
      </c>
      <c r="Q59" s="46">
        <f t="shared" si="9"/>
        <v>2024</v>
      </c>
      <c r="R59" s="4" t="str">
        <f t="shared" si="10"/>
        <v>March</v>
      </c>
      <c r="S59" s="4">
        <f t="shared" si="11"/>
        <v>26</v>
      </c>
      <c r="T59" s="36">
        <v>45741</v>
      </c>
      <c r="U59" s="7">
        <f t="shared" si="12"/>
        <v>2025</v>
      </c>
      <c r="V59" s="4" t="str">
        <f t="shared" si="13"/>
        <v>March</v>
      </c>
      <c r="W59" s="4">
        <f t="shared" si="14"/>
        <v>26</v>
      </c>
      <c r="X59" s="41">
        <f t="shared" si="2"/>
        <v>7.5795856493178374E-4</v>
      </c>
      <c r="Y59" s="41">
        <f t="shared" si="3"/>
        <v>0</v>
      </c>
      <c r="Z59" s="44">
        <f t="shared" si="4"/>
        <v>4.3680838672102506E-4</v>
      </c>
      <c r="AA59" s="10">
        <f t="shared" si="15"/>
        <v>0</v>
      </c>
      <c r="AB59" s="45" t="str">
        <f t="shared" si="5"/>
        <v>Hares</v>
      </c>
    </row>
    <row r="60" spans="3:28">
      <c r="C60" s="25" t="s">
        <v>31</v>
      </c>
      <c r="D60" s="25" t="s">
        <v>26</v>
      </c>
      <c r="E60" s="25" t="s">
        <v>27</v>
      </c>
      <c r="F60" s="30">
        <v>3790302</v>
      </c>
      <c r="G60" s="4">
        <f t="shared" si="6"/>
        <v>189515.1</v>
      </c>
      <c r="H60" s="30">
        <v>70000</v>
      </c>
      <c r="I60" s="4">
        <f t="shared" si="0"/>
        <v>4049817.1</v>
      </c>
      <c r="J60" s="30">
        <v>0</v>
      </c>
      <c r="K60" s="4">
        <f t="shared" si="1"/>
        <v>4049817.1</v>
      </c>
      <c r="L60" s="4">
        <f t="shared" si="7"/>
        <v>1012454.275</v>
      </c>
      <c r="M60" s="25">
        <v>4</v>
      </c>
      <c r="N60" s="25">
        <v>3</v>
      </c>
      <c r="O60" s="3">
        <f t="shared" si="8"/>
        <v>7</v>
      </c>
      <c r="P60" s="33">
        <v>45379</v>
      </c>
      <c r="Q60" s="46">
        <f t="shared" si="9"/>
        <v>2024</v>
      </c>
      <c r="R60" s="4" t="str">
        <f t="shared" si="10"/>
        <v>March</v>
      </c>
      <c r="S60" s="4">
        <f t="shared" si="11"/>
        <v>28</v>
      </c>
      <c r="T60" s="36">
        <v>45743</v>
      </c>
      <c r="U60" s="7">
        <f t="shared" si="12"/>
        <v>2025</v>
      </c>
      <c r="V60" s="4" t="str">
        <f t="shared" si="13"/>
        <v>March</v>
      </c>
      <c r="W60" s="4">
        <f t="shared" si="14"/>
        <v>25</v>
      </c>
      <c r="X60" s="41">
        <f t="shared" si="2"/>
        <v>1.0106114199090451E-3</v>
      </c>
      <c r="Y60" s="41">
        <f t="shared" si="3"/>
        <v>9.3023255813953494E-4</v>
      </c>
      <c r="Z60" s="44">
        <f t="shared" si="4"/>
        <v>1.0192195690157252E-3</v>
      </c>
      <c r="AA60" s="10">
        <f t="shared" si="15"/>
        <v>0.75</v>
      </c>
      <c r="AB60" s="45" t="str">
        <f t="shared" si="5"/>
        <v>Hares</v>
      </c>
    </row>
    <row r="61" spans="3:28">
      <c r="C61" s="25" t="s">
        <v>96</v>
      </c>
      <c r="D61" s="25" t="s">
        <v>26</v>
      </c>
      <c r="E61" s="25" t="s">
        <v>27</v>
      </c>
      <c r="F61" s="30">
        <v>43221196.509999998</v>
      </c>
      <c r="G61" s="4">
        <f t="shared" si="6"/>
        <v>2161059.8254999998</v>
      </c>
      <c r="H61" s="30">
        <v>1310000</v>
      </c>
      <c r="I61" s="4">
        <f t="shared" si="0"/>
        <v>46692256.335499994</v>
      </c>
      <c r="J61" s="30">
        <v>0</v>
      </c>
      <c r="K61" s="4">
        <f t="shared" si="1"/>
        <v>46692256.335499994</v>
      </c>
      <c r="L61" s="4">
        <f t="shared" si="7"/>
        <v>536692.60155747121</v>
      </c>
      <c r="M61" s="25">
        <f>18+69</f>
        <v>87</v>
      </c>
      <c r="N61" s="25">
        <f>131-87</f>
        <v>44</v>
      </c>
      <c r="O61" s="3">
        <f t="shared" si="8"/>
        <v>131</v>
      </c>
      <c r="P61" s="33">
        <v>45395</v>
      </c>
      <c r="Q61" s="46">
        <f t="shared" si="9"/>
        <v>2024</v>
      </c>
      <c r="R61" s="4" t="str">
        <f t="shared" si="10"/>
        <v>April</v>
      </c>
      <c r="S61" s="4">
        <f t="shared" si="11"/>
        <v>13</v>
      </c>
      <c r="T61" s="36">
        <v>45759</v>
      </c>
      <c r="U61" s="7">
        <f t="shared" si="12"/>
        <v>2025</v>
      </c>
      <c r="V61" s="4" t="str">
        <f t="shared" si="13"/>
        <v>April</v>
      </c>
      <c r="W61" s="4">
        <f t="shared" si="14"/>
        <v>27</v>
      </c>
      <c r="X61" s="41">
        <f t="shared" si="2"/>
        <v>2.1980798383021728E-2</v>
      </c>
      <c r="Y61" s="41">
        <f t="shared" si="3"/>
        <v>1.3643410852713178E-2</v>
      </c>
      <c r="Z61" s="44">
        <f t="shared" si="4"/>
        <v>1.9073966220151426E-2</v>
      </c>
      <c r="AA61" s="10">
        <f t="shared" si="15"/>
        <v>0.50574712643678166</v>
      </c>
      <c r="AB61" s="45" t="str">
        <f t="shared" si="5"/>
        <v>Tigers</v>
      </c>
    </row>
    <row r="62" spans="3:28">
      <c r="C62" s="25" t="s">
        <v>97</v>
      </c>
      <c r="D62" s="25" t="s">
        <v>26</v>
      </c>
      <c r="E62" s="25" t="s">
        <v>27</v>
      </c>
      <c r="F62" s="30">
        <f>504665</f>
        <v>504665</v>
      </c>
      <c r="G62" s="4">
        <f t="shared" si="6"/>
        <v>25233.25</v>
      </c>
      <c r="H62" s="30">
        <v>10000</v>
      </c>
      <c r="I62" s="4">
        <f t="shared" si="0"/>
        <v>539898.25</v>
      </c>
      <c r="J62" s="30">
        <v>0</v>
      </c>
      <c r="K62" s="4">
        <f t="shared" si="1"/>
        <v>539898.25</v>
      </c>
      <c r="L62" s="4">
        <f t="shared" si="7"/>
        <v>539898.25</v>
      </c>
      <c r="M62" s="25">
        <v>1</v>
      </c>
      <c r="N62" s="25">
        <v>0</v>
      </c>
      <c r="O62" s="3">
        <f t="shared" si="8"/>
        <v>1</v>
      </c>
      <c r="P62" s="33">
        <v>45392</v>
      </c>
      <c r="Q62" s="46">
        <f t="shared" si="9"/>
        <v>2024</v>
      </c>
      <c r="R62" s="4" t="str">
        <f t="shared" si="10"/>
        <v>April</v>
      </c>
      <c r="S62" s="4">
        <f t="shared" si="11"/>
        <v>10</v>
      </c>
      <c r="T62" s="36">
        <v>45756</v>
      </c>
      <c r="U62" s="7">
        <f t="shared" si="12"/>
        <v>2025</v>
      </c>
      <c r="V62" s="4" t="str">
        <f t="shared" si="13"/>
        <v>April</v>
      </c>
      <c r="W62" s="4">
        <f t="shared" si="14"/>
        <v>12</v>
      </c>
      <c r="X62" s="41">
        <f t="shared" si="2"/>
        <v>2.5265285497726126E-4</v>
      </c>
      <c r="Y62" s="41">
        <f t="shared" si="3"/>
        <v>0</v>
      </c>
      <c r="Z62" s="44">
        <f t="shared" si="4"/>
        <v>1.4560279557367502E-4</v>
      </c>
      <c r="AA62" s="10">
        <f t="shared" si="15"/>
        <v>0</v>
      </c>
      <c r="AB62" s="45" t="str">
        <f t="shared" si="5"/>
        <v>Hares</v>
      </c>
    </row>
    <row r="63" spans="3:28">
      <c r="C63" s="25" t="s">
        <v>98</v>
      </c>
      <c r="D63" s="25" t="s">
        <v>26</v>
      </c>
      <c r="E63" s="25" t="s">
        <v>27</v>
      </c>
      <c r="F63" s="30">
        <v>654024</v>
      </c>
      <c r="G63" s="4">
        <f t="shared" si="6"/>
        <v>32701.200000000001</v>
      </c>
      <c r="H63" s="30">
        <v>10000</v>
      </c>
      <c r="I63" s="4">
        <f t="shared" si="0"/>
        <v>696725.2</v>
      </c>
      <c r="J63" s="30">
        <v>0</v>
      </c>
      <c r="K63" s="4">
        <f t="shared" si="1"/>
        <v>696725.2</v>
      </c>
      <c r="L63" s="4">
        <f t="shared" si="7"/>
        <v>696725.2</v>
      </c>
      <c r="M63" s="25">
        <v>1</v>
      </c>
      <c r="N63" s="25">
        <v>0</v>
      </c>
      <c r="O63" s="3">
        <f t="shared" si="8"/>
        <v>1</v>
      </c>
      <c r="P63" s="33">
        <v>45394</v>
      </c>
      <c r="Q63" s="46">
        <f t="shared" si="9"/>
        <v>2024</v>
      </c>
      <c r="R63" s="4" t="str">
        <f t="shared" si="10"/>
        <v>April</v>
      </c>
      <c r="S63" s="4">
        <f t="shared" si="11"/>
        <v>12</v>
      </c>
      <c r="T63" s="36">
        <v>45758</v>
      </c>
      <c r="U63" s="7">
        <f t="shared" si="12"/>
        <v>2025</v>
      </c>
      <c r="V63" s="4" t="str">
        <f t="shared" si="13"/>
        <v>April</v>
      </c>
      <c r="W63" s="4">
        <f t="shared" si="14"/>
        <v>9</v>
      </c>
      <c r="X63" s="41">
        <f t="shared" si="2"/>
        <v>2.5265285497726126E-4</v>
      </c>
      <c r="Y63" s="41">
        <f t="shared" si="3"/>
        <v>0</v>
      </c>
      <c r="Z63" s="44">
        <f t="shared" si="4"/>
        <v>1.4560279557367502E-4</v>
      </c>
      <c r="AA63" s="10">
        <f t="shared" si="15"/>
        <v>0</v>
      </c>
      <c r="AB63" s="45" t="str">
        <f t="shared" si="5"/>
        <v>Hares</v>
      </c>
    </row>
    <row r="64" spans="3:28">
      <c r="C64" s="25" t="s">
        <v>99</v>
      </c>
      <c r="D64" s="25" t="s">
        <v>26</v>
      </c>
      <c r="E64" s="25" t="s">
        <v>27</v>
      </c>
      <c r="F64" s="30">
        <v>1766317</v>
      </c>
      <c r="G64" s="4">
        <f t="shared" si="6"/>
        <v>88315.85</v>
      </c>
      <c r="H64" s="30">
        <v>30000</v>
      </c>
      <c r="I64" s="4">
        <f t="shared" si="0"/>
        <v>1884632.85</v>
      </c>
      <c r="J64" s="30">
        <v>0</v>
      </c>
      <c r="K64" s="4">
        <f t="shared" si="1"/>
        <v>1884632.85</v>
      </c>
      <c r="L64" s="4">
        <f t="shared" si="7"/>
        <v>628210.95000000007</v>
      </c>
      <c r="M64" s="25">
        <v>3</v>
      </c>
      <c r="N64" s="25">
        <v>0</v>
      </c>
      <c r="O64" s="3">
        <f t="shared" si="8"/>
        <v>3</v>
      </c>
      <c r="P64" s="33">
        <v>45394</v>
      </c>
      <c r="Q64" s="46">
        <f t="shared" si="9"/>
        <v>2024</v>
      </c>
      <c r="R64" s="4" t="str">
        <f t="shared" si="10"/>
        <v>April</v>
      </c>
      <c r="S64" s="4">
        <f t="shared" si="11"/>
        <v>12</v>
      </c>
      <c r="T64" s="36">
        <v>45758</v>
      </c>
      <c r="U64" s="7">
        <f t="shared" si="12"/>
        <v>2025</v>
      </c>
      <c r="V64" s="4" t="str">
        <f t="shared" si="13"/>
        <v>April</v>
      </c>
      <c r="W64" s="4">
        <f t="shared" si="14"/>
        <v>11</v>
      </c>
      <c r="X64" s="41">
        <f t="shared" si="2"/>
        <v>7.5795856493178374E-4</v>
      </c>
      <c r="Y64" s="41">
        <f t="shared" si="3"/>
        <v>0</v>
      </c>
      <c r="Z64" s="44">
        <f t="shared" si="4"/>
        <v>4.3680838672102506E-4</v>
      </c>
      <c r="AA64" s="10">
        <f t="shared" si="15"/>
        <v>0</v>
      </c>
      <c r="AB64" s="45" t="str">
        <f t="shared" si="5"/>
        <v>Hares</v>
      </c>
    </row>
    <row r="65" spans="3:28">
      <c r="C65" s="25" t="s">
        <v>100</v>
      </c>
      <c r="D65" s="25" t="s">
        <v>26</v>
      </c>
      <c r="E65" s="25" t="s">
        <v>29</v>
      </c>
      <c r="F65" s="30">
        <f>18705931+180981601</f>
        <v>199687532</v>
      </c>
      <c r="G65" s="4">
        <f t="shared" si="6"/>
        <v>9984376.5999999996</v>
      </c>
      <c r="H65" s="30">
        <f>520000+9990000</f>
        <v>10510000</v>
      </c>
      <c r="I65" s="4">
        <f t="shared" si="0"/>
        <v>220181908.59999999</v>
      </c>
      <c r="J65" s="30">
        <v>0</v>
      </c>
      <c r="K65" s="4">
        <f t="shared" si="1"/>
        <v>220181908.59999999</v>
      </c>
      <c r="L65" s="4">
        <f t="shared" si="7"/>
        <v>574887.48981723236</v>
      </c>
      <c r="M65" s="25">
        <v>383</v>
      </c>
      <c r="N65" s="30">
        <f>1051-383</f>
        <v>668</v>
      </c>
      <c r="O65" s="3">
        <f t="shared" si="8"/>
        <v>1051</v>
      </c>
      <c r="P65" s="33">
        <v>45407</v>
      </c>
      <c r="Q65" s="46">
        <f t="shared" si="9"/>
        <v>2024</v>
      </c>
      <c r="R65" s="4" t="str">
        <f t="shared" si="10"/>
        <v>April</v>
      </c>
      <c r="S65" s="4">
        <f t="shared" si="11"/>
        <v>25</v>
      </c>
      <c r="T65" s="36">
        <v>45771</v>
      </c>
      <c r="U65" s="7">
        <f t="shared" si="12"/>
        <v>2025</v>
      </c>
      <c r="V65" s="4" t="str">
        <f t="shared" si="13"/>
        <v>April</v>
      </c>
      <c r="W65" s="4">
        <f t="shared" si="14"/>
        <v>11</v>
      </c>
      <c r="X65" s="41">
        <f t="shared" si="2"/>
        <v>9.6766043456291057E-2</v>
      </c>
      <c r="Y65" s="41">
        <f t="shared" si="3"/>
        <v>0.20713178294573645</v>
      </c>
      <c r="Z65" s="44">
        <f t="shared" si="4"/>
        <v>0.15302853814793244</v>
      </c>
      <c r="AA65" s="10">
        <f t="shared" si="15"/>
        <v>1.7441253263707572</v>
      </c>
      <c r="AB65" s="45" t="str">
        <f t="shared" si="5"/>
        <v>Elephants</v>
      </c>
    </row>
    <row r="66" spans="3:28">
      <c r="C66" s="25" t="s">
        <v>101</v>
      </c>
      <c r="D66" s="25" t="s">
        <v>26</v>
      </c>
      <c r="E66" s="25" t="s">
        <v>29</v>
      </c>
      <c r="F66" s="30">
        <f>3751469+63432644</f>
        <v>67184113</v>
      </c>
      <c r="G66" s="4">
        <f t="shared" si="6"/>
        <v>3359205.6500000004</v>
      </c>
      <c r="H66" s="30">
        <f>845000+45000</f>
        <v>890000</v>
      </c>
      <c r="I66" s="4">
        <f t="shared" ref="I66:I97" si="16">SUM(F66:H66)</f>
        <v>71433318.650000006</v>
      </c>
      <c r="J66" s="30">
        <v>0</v>
      </c>
      <c r="K66" s="4">
        <f t="shared" ref="K66:K97" si="17">SUM(I66:J66)</f>
        <v>71433318.650000006</v>
      </c>
      <c r="L66" s="4">
        <f t="shared" si="7"/>
        <v>830619.98430232564</v>
      </c>
      <c r="M66" s="25">
        <v>86</v>
      </c>
      <c r="N66" s="30">
        <f>178-86</f>
        <v>92</v>
      </c>
      <c r="O66" s="3">
        <f t="shared" si="8"/>
        <v>178</v>
      </c>
      <c r="P66" s="33">
        <v>45410</v>
      </c>
      <c r="Q66" s="46">
        <f t="shared" si="9"/>
        <v>2024</v>
      </c>
      <c r="R66" s="4" t="str">
        <f t="shared" si="10"/>
        <v>April</v>
      </c>
      <c r="S66" s="4">
        <f t="shared" si="11"/>
        <v>28</v>
      </c>
      <c r="T66" s="36">
        <v>45774</v>
      </c>
      <c r="U66" s="7">
        <f t="shared" si="12"/>
        <v>2025</v>
      </c>
      <c r="V66" s="4" t="str">
        <f t="shared" si="13"/>
        <v>April</v>
      </c>
      <c r="W66" s="4">
        <f t="shared" si="14"/>
        <v>24</v>
      </c>
      <c r="X66" s="41">
        <f t="shared" ref="X66:X97" si="18">M66/$M$133</f>
        <v>2.1728145528044467E-2</v>
      </c>
      <c r="Y66" s="41">
        <f t="shared" ref="Y66:Y97" si="19">N66/$N$133</f>
        <v>2.8527131782945737E-2</v>
      </c>
      <c r="Z66" s="44">
        <f t="shared" ref="Z66:Z97" si="20">O66/$O$133</f>
        <v>2.5917297612114153E-2</v>
      </c>
      <c r="AA66" s="10">
        <f t="shared" si="15"/>
        <v>1.069767441860465</v>
      </c>
      <c r="AB66" s="45" t="str">
        <f t="shared" ref="AB66:AB97" si="21">_xlfn.XLOOKUP(M66, $A$114:$A$117, $B$114:$B$117, , 1)</f>
        <v>Tigers</v>
      </c>
    </row>
    <row r="67" spans="3:28">
      <c r="C67" s="25" t="s">
        <v>34</v>
      </c>
      <c r="D67" s="25" t="s">
        <v>26</v>
      </c>
      <c r="E67" s="25" t="s">
        <v>35</v>
      </c>
      <c r="F67" s="30">
        <v>3933752</v>
      </c>
      <c r="G67" s="4">
        <f t="shared" si="6"/>
        <v>196687.6</v>
      </c>
      <c r="H67" s="30">
        <v>80000</v>
      </c>
      <c r="I67" s="4">
        <f t="shared" si="16"/>
        <v>4210439.5999999996</v>
      </c>
      <c r="J67" s="30">
        <v>0</v>
      </c>
      <c r="K67" s="4">
        <f t="shared" si="17"/>
        <v>4210439.5999999996</v>
      </c>
      <c r="L67" s="4">
        <f t="shared" si="7"/>
        <v>601491.37142857141</v>
      </c>
      <c r="M67" s="25">
        <v>7</v>
      </c>
      <c r="N67" s="25">
        <v>1</v>
      </c>
      <c r="O67" s="3">
        <f t="shared" si="8"/>
        <v>8</v>
      </c>
      <c r="P67" s="33">
        <v>45413</v>
      </c>
      <c r="Q67" s="46">
        <f t="shared" si="9"/>
        <v>2024</v>
      </c>
      <c r="R67" s="4" t="str">
        <f t="shared" si="10"/>
        <v>May</v>
      </c>
      <c r="S67" s="4">
        <f t="shared" si="11"/>
        <v>1</v>
      </c>
      <c r="T67" s="36">
        <v>45777</v>
      </c>
      <c r="U67" s="7">
        <f t="shared" si="12"/>
        <v>2025</v>
      </c>
      <c r="V67" s="4" t="str">
        <f t="shared" si="13"/>
        <v>April</v>
      </c>
      <c r="W67" s="4">
        <f t="shared" si="14"/>
        <v>27</v>
      </c>
      <c r="X67" s="41">
        <f t="shared" si="18"/>
        <v>1.7685699848408287E-3</v>
      </c>
      <c r="Y67" s="41">
        <f t="shared" si="19"/>
        <v>3.1007751937984498E-4</v>
      </c>
      <c r="Z67" s="44">
        <f t="shared" si="20"/>
        <v>1.1648223645894002E-3</v>
      </c>
      <c r="AA67" s="10">
        <f t="shared" si="15"/>
        <v>0.14285714285714285</v>
      </c>
      <c r="AB67" s="45" t="str">
        <f t="shared" si="21"/>
        <v>Hares</v>
      </c>
    </row>
    <row r="68" spans="3:28">
      <c r="C68" s="25" t="s">
        <v>102</v>
      </c>
      <c r="D68" s="25" t="s">
        <v>26</v>
      </c>
      <c r="E68" s="25" t="s">
        <v>27</v>
      </c>
      <c r="F68" s="30">
        <v>12020631</v>
      </c>
      <c r="G68" s="4">
        <f t="shared" si="6"/>
        <v>601031.55000000005</v>
      </c>
      <c r="H68" s="30">
        <v>320000</v>
      </c>
      <c r="I68" s="4">
        <f t="shared" si="16"/>
        <v>12941662.550000001</v>
      </c>
      <c r="J68" s="30">
        <v>0</v>
      </c>
      <c r="K68" s="4">
        <f t="shared" si="17"/>
        <v>12941662.550000001</v>
      </c>
      <c r="L68" s="4">
        <f t="shared" si="7"/>
        <v>862777.50333333341</v>
      </c>
      <c r="M68" s="25">
        <v>15</v>
      </c>
      <c r="N68" s="25">
        <v>17</v>
      </c>
      <c r="O68" s="3">
        <f t="shared" si="8"/>
        <v>32</v>
      </c>
      <c r="P68" s="33">
        <v>45413</v>
      </c>
      <c r="Q68" s="46">
        <f t="shared" si="9"/>
        <v>2024</v>
      </c>
      <c r="R68" s="4" t="str">
        <f t="shared" si="10"/>
        <v>May</v>
      </c>
      <c r="S68" s="4">
        <f t="shared" si="11"/>
        <v>1</v>
      </c>
      <c r="T68" s="36">
        <v>45777</v>
      </c>
      <c r="U68" s="7">
        <f t="shared" si="12"/>
        <v>2025</v>
      </c>
      <c r="V68" s="4" t="str">
        <f t="shared" si="13"/>
        <v>April</v>
      </c>
      <c r="W68" s="4">
        <f t="shared" si="14"/>
        <v>30</v>
      </c>
      <c r="X68" s="41">
        <f t="shared" si="18"/>
        <v>3.7897928246589186E-3</v>
      </c>
      <c r="Y68" s="41">
        <f t="shared" si="19"/>
        <v>5.2713178294573641E-3</v>
      </c>
      <c r="Z68" s="44">
        <f t="shared" si="20"/>
        <v>4.6592894583576006E-3</v>
      </c>
      <c r="AA68" s="10">
        <f t="shared" si="15"/>
        <v>1.1333333333333333</v>
      </c>
      <c r="AB68" s="45" t="str">
        <f t="shared" si="21"/>
        <v>Hares</v>
      </c>
    </row>
    <row r="69" spans="3:28">
      <c r="C69" s="25" t="s">
        <v>103</v>
      </c>
      <c r="D69" s="25" t="s">
        <v>33</v>
      </c>
      <c r="E69" s="25" t="s">
        <v>27</v>
      </c>
      <c r="F69" s="30">
        <f>126596+4172897</f>
        <v>4299493</v>
      </c>
      <c r="G69" s="4">
        <f t="shared" si="6"/>
        <v>214974.65000000002</v>
      </c>
      <c r="H69" s="30">
        <f>210000+5000</f>
        <v>215000</v>
      </c>
      <c r="I69" s="4">
        <f t="shared" si="16"/>
        <v>4729467.6500000004</v>
      </c>
      <c r="J69" s="30">
        <f>5299677+630000+113400+169006+15000+2700</f>
        <v>6229783</v>
      </c>
      <c r="K69" s="4">
        <f t="shared" si="17"/>
        <v>10959250.65</v>
      </c>
      <c r="L69" s="4">
        <f t="shared" si="7"/>
        <v>304423.62916666665</v>
      </c>
      <c r="M69" s="25">
        <f>35+1</f>
        <v>36</v>
      </c>
      <c r="N69" s="25">
        <v>7</v>
      </c>
      <c r="O69" s="3">
        <f t="shared" si="8"/>
        <v>43</v>
      </c>
      <c r="P69" s="33">
        <v>45420</v>
      </c>
      <c r="Q69" s="46">
        <f t="shared" si="9"/>
        <v>2024</v>
      </c>
      <c r="R69" s="4" t="str">
        <f t="shared" si="10"/>
        <v>May</v>
      </c>
      <c r="S69" s="4">
        <f t="shared" si="11"/>
        <v>8</v>
      </c>
      <c r="T69" s="36">
        <v>45784</v>
      </c>
      <c r="U69" s="7">
        <f t="shared" si="12"/>
        <v>2025</v>
      </c>
      <c r="V69" s="4" t="str">
        <f t="shared" si="13"/>
        <v>May</v>
      </c>
      <c r="W69" s="4">
        <f t="shared" si="14"/>
        <v>30</v>
      </c>
      <c r="X69" s="41">
        <f t="shared" si="18"/>
        <v>9.0955027791814053E-3</v>
      </c>
      <c r="Y69" s="41">
        <f t="shared" si="19"/>
        <v>2.1705426356589145E-3</v>
      </c>
      <c r="Z69" s="44">
        <f t="shared" si="20"/>
        <v>6.2609202096680257E-3</v>
      </c>
      <c r="AA69" s="10">
        <f t="shared" si="15"/>
        <v>0.19444444444444445</v>
      </c>
      <c r="AB69" s="45" t="str">
        <f t="shared" si="21"/>
        <v>Tigers</v>
      </c>
    </row>
    <row r="70" spans="3:28">
      <c r="C70" s="25" t="s">
        <v>104</v>
      </c>
      <c r="D70" s="25" t="s">
        <v>26</v>
      </c>
      <c r="E70" s="25" t="s">
        <v>35</v>
      </c>
      <c r="F70" s="30">
        <v>1322572</v>
      </c>
      <c r="G70" s="4">
        <f t="shared" si="6"/>
        <v>66128.600000000006</v>
      </c>
      <c r="H70" s="30">
        <v>20000</v>
      </c>
      <c r="I70" s="4">
        <f t="shared" si="16"/>
        <v>1408700.6</v>
      </c>
      <c r="J70" s="30">
        <v>0</v>
      </c>
      <c r="K70" s="4">
        <f t="shared" si="17"/>
        <v>1408700.6</v>
      </c>
      <c r="L70" s="4">
        <f t="shared" si="7"/>
        <v>1408700.6</v>
      </c>
      <c r="M70" s="25">
        <v>1</v>
      </c>
      <c r="N70" s="25">
        <v>1</v>
      </c>
      <c r="O70" s="3">
        <f t="shared" si="8"/>
        <v>2</v>
      </c>
      <c r="P70" s="33">
        <v>45408</v>
      </c>
      <c r="Q70" s="46">
        <f t="shared" si="9"/>
        <v>2024</v>
      </c>
      <c r="R70" s="4" t="str">
        <f t="shared" si="10"/>
        <v>April</v>
      </c>
      <c r="S70" s="4">
        <f t="shared" si="11"/>
        <v>26</v>
      </c>
      <c r="T70" s="36">
        <v>45772</v>
      </c>
      <c r="U70" s="7">
        <f t="shared" si="12"/>
        <v>2025</v>
      </c>
      <c r="V70" s="4" t="str">
        <f t="shared" si="13"/>
        <v>April</v>
      </c>
      <c r="W70" s="4">
        <f t="shared" si="14"/>
        <v>7</v>
      </c>
      <c r="X70" s="41">
        <f t="shared" si="18"/>
        <v>2.5265285497726126E-4</v>
      </c>
      <c r="Y70" s="41">
        <f t="shared" si="19"/>
        <v>3.1007751937984498E-4</v>
      </c>
      <c r="Z70" s="44">
        <f t="shared" si="20"/>
        <v>2.9120559114735004E-4</v>
      </c>
      <c r="AA70" s="10">
        <f t="shared" si="15"/>
        <v>1</v>
      </c>
      <c r="AB70" s="45" t="str">
        <f t="shared" si="21"/>
        <v>Hares</v>
      </c>
    </row>
    <row r="71" spans="3:28">
      <c r="C71" s="25" t="s">
        <v>105</v>
      </c>
      <c r="D71" s="25" t="s">
        <v>26</v>
      </c>
      <c r="E71" s="25" t="s">
        <v>27</v>
      </c>
      <c r="F71" s="30">
        <v>3897152</v>
      </c>
      <c r="G71" s="4">
        <f t="shared" si="6"/>
        <v>194857.60000000001</v>
      </c>
      <c r="H71" s="30">
        <v>70000</v>
      </c>
      <c r="I71" s="4">
        <f t="shared" si="16"/>
        <v>4162009.6</v>
      </c>
      <c r="J71" s="30">
        <v>0</v>
      </c>
      <c r="K71" s="4">
        <f t="shared" si="17"/>
        <v>4162009.6</v>
      </c>
      <c r="L71" s="4">
        <f t="shared" si="7"/>
        <v>594572.80000000005</v>
      </c>
      <c r="M71" s="25">
        <v>7</v>
      </c>
      <c r="N71" s="25">
        <v>0</v>
      </c>
      <c r="O71" s="3">
        <f t="shared" si="8"/>
        <v>7</v>
      </c>
      <c r="P71" s="33">
        <v>45426</v>
      </c>
      <c r="Q71" s="46">
        <f t="shared" si="9"/>
        <v>2024</v>
      </c>
      <c r="R71" s="4" t="str">
        <f t="shared" si="10"/>
        <v>May</v>
      </c>
      <c r="S71" s="4">
        <f t="shared" si="11"/>
        <v>14</v>
      </c>
      <c r="T71" s="36">
        <v>45790</v>
      </c>
      <c r="U71" s="7">
        <f t="shared" si="12"/>
        <v>2025</v>
      </c>
      <c r="V71" s="4" t="str">
        <f t="shared" si="13"/>
        <v>May</v>
      </c>
      <c r="W71" s="4">
        <f t="shared" si="14"/>
        <v>25</v>
      </c>
      <c r="X71" s="41">
        <f t="shared" si="18"/>
        <v>1.7685699848408287E-3</v>
      </c>
      <c r="Y71" s="41">
        <f t="shared" si="19"/>
        <v>0</v>
      </c>
      <c r="Z71" s="44">
        <f t="shared" si="20"/>
        <v>1.0192195690157252E-3</v>
      </c>
      <c r="AA71" s="10">
        <f t="shared" si="15"/>
        <v>0</v>
      </c>
      <c r="AB71" s="45" t="str">
        <f t="shared" si="21"/>
        <v>Hares</v>
      </c>
    </row>
    <row r="72" spans="3:28">
      <c r="C72" s="25" t="s">
        <v>106</v>
      </c>
      <c r="D72" s="25" t="s">
        <v>26</v>
      </c>
      <c r="E72" s="25" t="s">
        <v>27</v>
      </c>
      <c r="F72" s="30">
        <v>510698</v>
      </c>
      <c r="G72" s="4">
        <f t="shared" si="6"/>
        <v>25534.9</v>
      </c>
      <c r="H72" s="30">
        <v>10000</v>
      </c>
      <c r="I72" s="4">
        <f t="shared" si="16"/>
        <v>546232.9</v>
      </c>
      <c r="J72" s="30">
        <v>0</v>
      </c>
      <c r="K72" s="4">
        <f t="shared" si="17"/>
        <v>546232.9</v>
      </c>
      <c r="L72" s="4">
        <f t="shared" si="7"/>
        <v>546232.9</v>
      </c>
      <c r="M72" s="25">
        <v>1</v>
      </c>
      <c r="N72" s="25">
        <v>0</v>
      </c>
      <c r="O72" s="3">
        <f t="shared" si="8"/>
        <v>1</v>
      </c>
      <c r="P72" s="33">
        <v>45432</v>
      </c>
      <c r="Q72" s="46">
        <f t="shared" si="9"/>
        <v>2024</v>
      </c>
      <c r="R72" s="4" t="str">
        <f t="shared" si="10"/>
        <v>May</v>
      </c>
      <c r="S72" s="4">
        <f t="shared" si="11"/>
        <v>20</v>
      </c>
      <c r="T72" s="36">
        <v>45796</v>
      </c>
      <c r="U72" s="7">
        <f t="shared" si="12"/>
        <v>2025</v>
      </c>
      <c r="V72" s="4" t="str">
        <f t="shared" si="13"/>
        <v>May</v>
      </c>
      <c r="W72" s="4">
        <f t="shared" si="14"/>
        <v>13</v>
      </c>
      <c r="X72" s="41">
        <f t="shared" si="18"/>
        <v>2.5265285497726126E-4</v>
      </c>
      <c r="Y72" s="41">
        <f t="shared" si="19"/>
        <v>0</v>
      </c>
      <c r="Z72" s="44">
        <f t="shared" si="20"/>
        <v>1.4560279557367502E-4</v>
      </c>
      <c r="AA72" s="10">
        <f t="shared" si="15"/>
        <v>0</v>
      </c>
      <c r="AB72" s="45" t="str">
        <f t="shared" si="21"/>
        <v>Hares</v>
      </c>
    </row>
    <row r="73" spans="3:28">
      <c r="C73" s="25" t="s">
        <v>107</v>
      </c>
      <c r="D73" s="25" t="s">
        <v>26</v>
      </c>
      <c r="E73" s="25" t="s">
        <v>35</v>
      </c>
      <c r="F73" s="30">
        <f>23153292+2402252+2179983+1520025</f>
        <v>29255552</v>
      </c>
      <c r="G73" s="4">
        <f t="shared" si="6"/>
        <v>1462777.6</v>
      </c>
      <c r="H73" s="30">
        <f>20000+30000+25000+240000</f>
        <v>315000</v>
      </c>
      <c r="I73" s="4">
        <f t="shared" si="16"/>
        <v>31033329.600000001</v>
      </c>
      <c r="J73" s="30">
        <v>0</v>
      </c>
      <c r="K73" s="4">
        <f t="shared" si="17"/>
        <v>31033329.600000001</v>
      </c>
      <c r="L73" s="4">
        <f t="shared" si="7"/>
        <v>646527.70000000007</v>
      </c>
      <c r="M73" s="25">
        <v>48</v>
      </c>
      <c r="N73" s="25">
        <f>126-48</f>
        <v>78</v>
      </c>
      <c r="O73" s="3">
        <f t="shared" si="8"/>
        <v>126</v>
      </c>
      <c r="P73" s="33">
        <v>45432</v>
      </c>
      <c r="Q73" s="46">
        <f t="shared" si="9"/>
        <v>2024</v>
      </c>
      <c r="R73" s="4" t="str">
        <f t="shared" si="10"/>
        <v>May</v>
      </c>
      <c r="S73" s="4">
        <f t="shared" si="11"/>
        <v>20</v>
      </c>
      <c r="T73" s="36">
        <v>45796</v>
      </c>
      <c r="U73" s="7">
        <f t="shared" si="12"/>
        <v>2025</v>
      </c>
      <c r="V73" s="4" t="str">
        <f t="shared" si="13"/>
        <v>May</v>
      </c>
      <c r="W73" s="4">
        <f t="shared" si="14"/>
        <v>19</v>
      </c>
      <c r="X73" s="41">
        <f t="shared" si="18"/>
        <v>1.212733703890854E-2</v>
      </c>
      <c r="Y73" s="41">
        <f t="shared" si="19"/>
        <v>2.4186046511627906E-2</v>
      </c>
      <c r="Z73" s="44">
        <f t="shared" si="20"/>
        <v>1.8345952242283053E-2</v>
      </c>
      <c r="AA73" s="10">
        <f t="shared" si="15"/>
        <v>1.625</v>
      </c>
      <c r="AB73" s="45" t="str">
        <f t="shared" si="21"/>
        <v>Tigers</v>
      </c>
    </row>
    <row r="74" spans="3:28">
      <c r="C74" s="25" t="s">
        <v>108</v>
      </c>
      <c r="D74" s="25" t="s">
        <v>26</v>
      </c>
      <c r="E74" s="25" t="s">
        <v>27</v>
      </c>
      <c r="F74" s="30">
        <v>727401</v>
      </c>
      <c r="G74" s="4">
        <f t="shared" si="6"/>
        <v>36370.050000000003</v>
      </c>
      <c r="H74" s="30">
        <v>10000</v>
      </c>
      <c r="I74" s="4">
        <f t="shared" si="16"/>
        <v>773771.05</v>
      </c>
      <c r="J74" s="30">
        <v>0</v>
      </c>
      <c r="K74" s="4">
        <f t="shared" si="17"/>
        <v>773771.05</v>
      </c>
      <c r="L74" s="4">
        <f t="shared" si="7"/>
        <v>773771.05</v>
      </c>
      <c r="M74" s="25">
        <v>1</v>
      </c>
      <c r="N74" s="25">
        <v>0</v>
      </c>
      <c r="O74" s="3">
        <f t="shared" si="8"/>
        <v>1</v>
      </c>
      <c r="P74" s="33">
        <v>45435</v>
      </c>
      <c r="Q74" s="46">
        <f t="shared" si="9"/>
        <v>2024</v>
      </c>
      <c r="R74" s="4" t="str">
        <f t="shared" si="10"/>
        <v>May</v>
      </c>
      <c r="S74" s="4">
        <f t="shared" si="11"/>
        <v>23</v>
      </c>
      <c r="T74" s="36">
        <v>45799</v>
      </c>
      <c r="U74" s="7">
        <f t="shared" si="12"/>
        <v>2025</v>
      </c>
      <c r="V74" s="4" t="str">
        <f t="shared" si="13"/>
        <v>May</v>
      </c>
      <c r="W74" s="4">
        <f t="shared" si="14"/>
        <v>19</v>
      </c>
      <c r="X74" s="41">
        <f t="shared" si="18"/>
        <v>2.5265285497726126E-4</v>
      </c>
      <c r="Y74" s="41">
        <f t="shared" si="19"/>
        <v>0</v>
      </c>
      <c r="Z74" s="44">
        <f t="shared" si="20"/>
        <v>1.4560279557367502E-4</v>
      </c>
      <c r="AA74" s="10">
        <f t="shared" si="15"/>
        <v>0</v>
      </c>
      <c r="AB74" s="45" t="str">
        <f t="shared" si="21"/>
        <v>Hares</v>
      </c>
    </row>
    <row r="75" spans="3:28">
      <c r="C75" s="25" t="s">
        <v>109</v>
      </c>
      <c r="D75" s="25" t="s">
        <v>26</v>
      </c>
      <c r="E75" s="25" t="s">
        <v>27</v>
      </c>
      <c r="F75" s="30">
        <v>519366</v>
      </c>
      <c r="G75" s="4">
        <f t="shared" si="6"/>
        <v>25968.300000000003</v>
      </c>
      <c r="H75" s="30">
        <v>10000</v>
      </c>
      <c r="I75" s="4">
        <f t="shared" si="16"/>
        <v>555334.30000000005</v>
      </c>
      <c r="J75" s="30">
        <v>0</v>
      </c>
      <c r="K75" s="4">
        <f t="shared" si="17"/>
        <v>555334.30000000005</v>
      </c>
      <c r="L75" s="4">
        <f t="shared" si="7"/>
        <v>555334.30000000005</v>
      </c>
      <c r="M75" s="25">
        <v>1</v>
      </c>
      <c r="N75" s="25">
        <v>0</v>
      </c>
      <c r="O75" s="3">
        <f t="shared" si="8"/>
        <v>1</v>
      </c>
      <c r="P75" s="33">
        <v>45443</v>
      </c>
      <c r="Q75" s="46">
        <f t="shared" si="9"/>
        <v>2024</v>
      </c>
      <c r="R75" s="4" t="str">
        <f t="shared" si="10"/>
        <v>May</v>
      </c>
      <c r="S75" s="4">
        <f t="shared" si="11"/>
        <v>31</v>
      </c>
      <c r="T75" s="36">
        <v>45807</v>
      </c>
      <c r="U75" s="7">
        <f t="shared" si="12"/>
        <v>2025</v>
      </c>
      <c r="V75" s="4" t="str">
        <f t="shared" si="13"/>
        <v>May</v>
      </c>
      <c r="W75" s="4">
        <f t="shared" si="14"/>
        <v>22</v>
      </c>
      <c r="X75" s="41">
        <f t="shared" si="18"/>
        <v>2.5265285497726126E-4</v>
      </c>
      <c r="Y75" s="41">
        <f t="shared" si="19"/>
        <v>0</v>
      </c>
      <c r="Z75" s="44">
        <f t="shared" si="20"/>
        <v>1.4560279557367502E-4</v>
      </c>
      <c r="AA75" s="10">
        <f t="shared" si="15"/>
        <v>0</v>
      </c>
      <c r="AB75" s="45" t="str">
        <f t="shared" si="21"/>
        <v>Hares</v>
      </c>
    </row>
    <row r="76" spans="3:28">
      <c r="C76" s="25" t="s">
        <v>110</v>
      </c>
      <c r="D76" s="25" t="s">
        <v>26</v>
      </c>
      <c r="E76" s="25" t="s">
        <v>29</v>
      </c>
      <c r="F76" s="30">
        <v>58386990.541000001</v>
      </c>
      <c r="G76" s="4">
        <f t="shared" si="6"/>
        <v>2919349.5270500001</v>
      </c>
      <c r="H76" s="30">
        <v>1635000</v>
      </c>
      <c r="I76" s="4">
        <f t="shared" si="16"/>
        <v>62941340.068050005</v>
      </c>
      <c r="J76" s="30">
        <v>0</v>
      </c>
      <c r="K76" s="4">
        <f t="shared" si="17"/>
        <v>62941340.068050005</v>
      </c>
      <c r="L76" s="4">
        <f t="shared" si="7"/>
        <v>440149.23124510492</v>
      </c>
      <c r="M76" s="25">
        <v>143</v>
      </c>
      <c r="N76" s="30">
        <f>338-M76</f>
        <v>195</v>
      </c>
      <c r="O76" s="3">
        <f t="shared" si="8"/>
        <v>338</v>
      </c>
      <c r="P76" s="33">
        <v>45444</v>
      </c>
      <c r="Q76" s="46">
        <f t="shared" si="9"/>
        <v>2024</v>
      </c>
      <c r="R76" s="4" t="str">
        <f t="shared" si="10"/>
        <v>June</v>
      </c>
      <c r="S76" s="4">
        <f t="shared" si="11"/>
        <v>1</v>
      </c>
      <c r="T76" s="36">
        <v>45808</v>
      </c>
      <c r="U76" s="7">
        <f t="shared" si="12"/>
        <v>2025</v>
      </c>
      <c r="V76" s="4" t="str">
        <f t="shared" si="13"/>
        <v>May</v>
      </c>
      <c r="W76" s="4">
        <f t="shared" si="14"/>
        <v>30</v>
      </c>
      <c r="X76" s="41">
        <f t="shared" si="18"/>
        <v>3.6129358261748359E-2</v>
      </c>
      <c r="Y76" s="41">
        <f t="shared" si="19"/>
        <v>6.0465116279069767E-2</v>
      </c>
      <c r="Z76" s="44">
        <f t="shared" si="20"/>
        <v>4.9213744903902158E-2</v>
      </c>
      <c r="AA76" s="10">
        <f t="shared" si="15"/>
        <v>1.3636363636363635</v>
      </c>
      <c r="AB76" s="45" t="str">
        <f t="shared" si="21"/>
        <v>Elephants</v>
      </c>
    </row>
    <row r="77" spans="3:28">
      <c r="C77" s="25" t="s">
        <v>111</v>
      </c>
      <c r="D77" s="25" t="s">
        <v>26</v>
      </c>
      <c r="E77" s="25" t="s">
        <v>27</v>
      </c>
      <c r="F77" s="30">
        <v>11530052</v>
      </c>
      <c r="G77" s="4">
        <f t="shared" si="6"/>
        <v>576502.6</v>
      </c>
      <c r="H77" s="30">
        <v>170000</v>
      </c>
      <c r="I77" s="4">
        <f t="shared" si="16"/>
        <v>12276554.6</v>
      </c>
      <c r="J77" s="30">
        <v>0</v>
      </c>
      <c r="K77" s="4">
        <f t="shared" si="17"/>
        <v>12276554.6</v>
      </c>
      <c r="L77" s="4">
        <f t="shared" si="7"/>
        <v>876896.75714285707</v>
      </c>
      <c r="M77" s="25">
        <v>14</v>
      </c>
      <c r="N77" s="25">
        <v>3</v>
      </c>
      <c r="O77" s="3">
        <f t="shared" si="8"/>
        <v>17</v>
      </c>
      <c r="P77" s="33">
        <v>45444</v>
      </c>
      <c r="Q77" s="46">
        <f t="shared" si="9"/>
        <v>2024</v>
      </c>
      <c r="R77" s="4" t="str">
        <f t="shared" si="10"/>
        <v>June</v>
      </c>
      <c r="S77" s="4">
        <f t="shared" si="11"/>
        <v>1</v>
      </c>
      <c r="T77" s="36">
        <v>45808</v>
      </c>
      <c r="U77" s="7">
        <f t="shared" si="12"/>
        <v>2025</v>
      </c>
      <c r="V77" s="4" t="str">
        <f t="shared" si="13"/>
        <v>May</v>
      </c>
      <c r="W77" s="4">
        <f t="shared" si="14"/>
        <v>31</v>
      </c>
      <c r="X77" s="41">
        <f t="shared" si="18"/>
        <v>3.5371399696816574E-3</v>
      </c>
      <c r="Y77" s="41">
        <f t="shared" si="19"/>
        <v>9.3023255813953494E-4</v>
      </c>
      <c r="Z77" s="44">
        <f t="shared" si="20"/>
        <v>2.4752475247524753E-3</v>
      </c>
      <c r="AA77" s="10">
        <f t="shared" si="15"/>
        <v>0.21428571428571427</v>
      </c>
      <c r="AB77" s="45" t="str">
        <f t="shared" si="21"/>
        <v>Hares</v>
      </c>
    </row>
    <row r="78" spans="3:28">
      <c r="C78" s="25" t="s">
        <v>112</v>
      </c>
      <c r="D78" s="25" t="s">
        <v>26</v>
      </c>
      <c r="E78" s="25" t="s">
        <v>29</v>
      </c>
      <c r="F78" s="30">
        <v>131969250</v>
      </c>
      <c r="G78" s="4">
        <f t="shared" si="6"/>
        <v>6598462.5</v>
      </c>
      <c r="H78" s="30">
        <v>1527500</v>
      </c>
      <c r="I78" s="4">
        <f t="shared" si="16"/>
        <v>140095212.5</v>
      </c>
      <c r="J78" s="30">
        <v>0</v>
      </c>
      <c r="K78" s="4">
        <f t="shared" si="17"/>
        <v>140095212.5</v>
      </c>
      <c r="L78" s="4">
        <f t="shared" si="7"/>
        <v>741244.51058201061</v>
      </c>
      <c r="M78" s="25">
        <v>189</v>
      </c>
      <c r="N78" s="30">
        <f>611-M78</f>
        <v>422</v>
      </c>
      <c r="O78" s="3">
        <f t="shared" si="8"/>
        <v>611</v>
      </c>
      <c r="P78" s="33">
        <v>45444</v>
      </c>
      <c r="Q78" s="46">
        <f t="shared" si="9"/>
        <v>2024</v>
      </c>
      <c r="R78" s="4" t="str">
        <f t="shared" si="10"/>
        <v>June</v>
      </c>
      <c r="S78" s="4">
        <f t="shared" si="11"/>
        <v>1</v>
      </c>
      <c r="T78" s="36">
        <v>45808</v>
      </c>
      <c r="U78" s="7">
        <f t="shared" si="12"/>
        <v>2025</v>
      </c>
      <c r="V78" s="4" t="str">
        <f t="shared" si="13"/>
        <v>May</v>
      </c>
      <c r="W78" s="4">
        <f t="shared" si="14"/>
        <v>31</v>
      </c>
      <c r="X78" s="41">
        <f t="shared" si="18"/>
        <v>4.7751389590702374E-2</v>
      </c>
      <c r="Y78" s="41">
        <f t="shared" si="19"/>
        <v>0.13085271317829458</v>
      </c>
      <c r="Z78" s="44">
        <f t="shared" si="20"/>
        <v>8.8963308095515434E-2</v>
      </c>
      <c r="AA78" s="10">
        <f t="shared" si="15"/>
        <v>2.232804232804233</v>
      </c>
      <c r="AB78" s="45" t="str">
        <f t="shared" si="21"/>
        <v>Elephants</v>
      </c>
    </row>
    <row r="79" spans="3:28">
      <c r="C79" s="25" t="s">
        <v>113</v>
      </c>
      <c r="D79" s="25" t="s">
        <v>26</v>
      </c>
      <c r="E79" s="25" t="s">
        <v>27</v>
      </c>
      <c r="F79" s="30">
        <v>1277471</v>
      </c>
      <c r="G79" s="4">
        <f t="shared" si="6"/>
        <v>63873.55</v>
      </c>
      <c r="H79" s="30">
        <v>30000</v>
      </c>
      <c r="I79" s="4">
        <f t="shared" si="16"/>
        <v>1371344.55</v>
      </c>
      <c r="J79" s="30">
        <v>0</v>
      </c>
      <c r="K79" s="4">
        <f t="shared" si="17"/>
        <v>1371344.55</v>
      </c>
      <c r="L79" s="4">
        <f t="shared" si="7"/>
        <v>1371344.55</v>
      </c>
      <c r="M79" s="25">
        <v>1</v>
      </c>
      <c r="N79" s="30">
        <v>2</v>
      </c>
      <c r="O79" s="3">
        <f t="shared" si="8"/>
        <v>3</v>
      </c>
      <c r="P79" s="33">
        <v>45441</v>
      </c>
      <c r="Q79" s="46">
        <f t="shared" si="9"/>
        <v>2024</v>
      </c>
      <c r="R79" s="4" t="str">
        <f t="shared" si="10"/>
        <v>May</v>
      </c>
      <c r="S79" s="4">
        <f t="shared" si="11"/>
        <v>29</v>
      </c>
      <c r="T79" s="36">
        <v>45807</v>
      </c>
      <c r="U79" s="7">
        <f t="shared" si="12"/>
        <v>2025</v>
      </c>
      <c r="V79" s="4" t="str">
        <f t="shared" si="13"/>
        <v>May</v>
      </c>
      <c r="W79" s="4">
        <f t="shared" si="14"/>
        <v>31</v>
      </c>
      <c r="X79" s="41">
        <f t="shared" si="18"/>
        <v>2.5265285497726126E-4</v>
      </c>
      <c r="Y79" s="41">
        <f t="shared" si="19"/>
        <v>6.2015503875968996E-4</v>
      </c>
      <c r="Z79" s="44">
        <f t="shared" si="20"/>
        <v>4.3680838672102506E-4</v>
      </c>
      <c r="AA79" s="10">
        <f t="shared" si="15"/>
        <v>2</v>
      </c>
      <c r="AB79" s="45" t="str">
        <f t="shared" si="21"/>
        <v>Hares</v>
      </c>
    </row>
    <row r="80" spans="3:28">
      <c r="C80" s="25" t="s">
        <v>114</v>
      </c>
      <c r="D80" s="25" t="s">
        <v>26</v>
      </c>
      <c r="E80" s="25" t="s">
        <v>29</v>
      </c>
      <c r="F80" s="30">
        <v>1476299</v>
      </c>
      <c r="G80" s="4">
        <f t="shared" si="6"/>
        <v>73814.95</v>
      </c>
      <c r="H80" s="30">
        <v>20000</v>
      </c>
      <c r="I80" s="4">
        <f t="shared" si="16"/>
        <v>1570113.95</v>
      </c>
      <c r="J80" s="30">
        <v>0</v>
      </c>
      <c r="K80" s="4">
        <f t="shared" si="17"/>
        <v>1570113.95</v>
      </c>
      <c r="L80" s="4">
        <f t="shared" si="7"/>
        <v>1570113.95</v>
      </c>
      <c r="M80" s="25">
        <v>1</v>
      </c>
      <c r="N80" s="30">
        <v>1</v>
      </c>
      <c r="O80" s="3">
        <f t="shared" si="8"/>
        <v>2</v>
      </c>
      <c r="P80" s="33">
        <v>45453</v>
      </c>
      <c r="Q80" s="46">
        <f t="shared" si="9"/>
        <v>2024</v>
      </c>
      <c r="R80" s="4" t="str">
        <f t="shared" si="10"/>
        <v>June</v>
      </c>
      <c r="S80" s="4">
        <f t="shared" si="11"/>
        <v>10</v>
      </c>
      <c r="T80" s="36">
        <v>45817</v>
      </c>
      <c r="U80" s="7">
        <f t="shared" si="12"/>
        <v>2025</v>
      </c>
      <c r="V80" s="4" t="str">
        <f t="shared" si="13"/>
        <v>June</v>
      </c>
      <c r="W80" s="4">
        <f t="shared" si="14"/>
        <v>30</v>
      </c>
      <c r="X80" s="41">
        <f t="shared" si="18"/>
        <v>2.5265285497726126E-4</v>
      </c>
      <c r="Y80" s="41">
        <f t="shared" si="19"/>
        <v>3.1007751937984498E-4</v>
      </c>
      <c r="Z80" s="44">
        <f t="shared" si="20"/>
        <v>2.9120559114735004E-4</v>
      </c>
      <c r="AA80" s="10">
        <f t="shared" si="15"/>
        <v>1</v>
      </c>
      <c r="AB80" s="45" t="str">
        <f t="shared" si="21"/>
        <v>Hares</v>
      </c>
    </row>
    <row r="81" spans="3:28">
      <c r="C81" s="25" t="s">
        <v>115</v>
      </c>
      <c r="D81" s="25" t="s">
        <v>26</v>
      </c>
      <c r="E81" s="25" t="s">
        <v>27</v>
      </c>
      <c r="F81" s="30">
        <v>1240172</v>
      </c>
      <c r="G81" s="4">
        <f t="shared" si="6"/>
        <v>62008.600000000006</v>
      </c>
      <c r="H81" s="30">
        <v>20000</v>
      </c>
      <c r="I81" s="4">
        <f t="shared" si="16"/>
        <v>1322180.6000000001</v>
      </c>
      <c r="J81" s="30">
        <v>0</v>
      </c>
      <c r="K81" s="4">
        <f t="shared" si="17"/>
        <v>1322180.6000000001</v>
      </c>
      <c r="L81" s="4">
        <f t="shared" si="7"/>
        <v>661090.30000000005</v>
      </c>
      <c r="M81" s="25">
        <v>2</v>
      </c>
      <c r="N81" s="30">
        <v>0</v>
      </c>
      <c r="O81" s="3">
        <f t="shared" si="8"/>
        <v>2</v>
      </c>
      <c r="P81" s="33">
        <v>45455</v>
      </c>
      <c r="Q81" s="46">
        <f t="shared" si="9"/>
        <v>2024</v>
      </c>
      <c r="R81" s="4" t="str">
        <f t="shared" si="10"/>
        <v>June</v>
      </c>
      <c r="S81" s="4">
        <f t="shared" si="11"/>
        <v>12</v>
      </c>
      <c r="T81" s="36">
        <v>45819</v>
      </c>
      <c r="U81" s="7">
        <f t="shared" si="12"/>
        <v>2025</v>
      </c>
      <c r="V81" s="4" t="str">
        <f t="shared" si="13"/>
        <v>June</v>
      </c>
      <c r="W81" s="4">
        <f t="shared" si="14"/>
        <v>9</v>
      </c>
      <c r="X81" s="41">
        <f t="shared" si="18"/>
        <v>5.0530570995452253E-4</v>
      </c>
      <c r="Y81" s="41">
        <f t="shared" si="19"/>
        <v>0</v>
      </c>
      <c r="Z81" s="44">
        <f t="shared" si="20"/>
        <v>2.9120559114735004E-4</v>
      </c>
      <c r="AA81" s="10">
        <f t="shared" si="15"/>
        <v>0</v>
      </c>
      <c r="AB81" s="45" t="str">
        <f t="shared" si="21"/>
        <v>Hares</v>
      </c>
    </row>
    <row r="82" spans="3:28">
      <c r="C82" s="25" t="s">
        <v>116</v>
      </c>
      <c r="D82" s="25" t="s">
        <v>26</v>
      </c>
      <c r="E82" s="25" t="s">
        <v>27</v>
      </c>
      <c r="F82" s="30">
        <v>2839401</v>
      </c>
      <c r="G82" s="4">
        <f t="shared" si="6"/>
        <v>141970.05000000002</v>
      </c>
      <c r="H82" s="30">
        <v>50000</v>
      </c>
      <c r="I82" s="4">
        <f t="shared" si="16"/>
        <v>3031371.05</v>
      </c>
      <c r="J82" s="30">
        <v>0</v>
      </c>
      <c r="K82" s="4">
        <f t="shared" si="17"/>
        <v>3031371.05</v>
      </c>
      <c r="L82" s="4">
        <f t="shared" si="7"/>
        <v>3031371.05</v>
      </c>
      <c r="M82" s="25">
        <v>1</v>
      </c>
      <c r="N82" s="30">
        <v>4</v>
      </c>
      <c r="O82" s="3">
        <f t="shared" si="8"/>
        <v>5</v>
      </c>
      <c r="P82" s="33">
        <v>45455</v>
      </c>
      <c r="Q82" s="46">
        <f t="shared" si="9"/>
        <v>2024</v>
      </c>
      <c r="R82" s="4" t="str">
        <f t="shared" si="10"/>
        <v>June</v>
      </c>
      <c r="S82" s="4">
        <f t="shared" si="11"/>
        <v>12</v>
      </c>
      <c r="T82" s="36">
        <v>45835</v>
      </c>
      <c r="U82" s="7">
        <f t="shared" si="12"/>
        <v>2025</v>
      </c>
      <c r="V82" s="4" t="str">
        <f t="shared" si="13"/>
        <v>June</v>
      </c>
      <c r="W82" s="4">
        <f t="shared" si="14"/>
        <v>11</v>
      </c>
      <c r="X82" s="41">
        <f t="shared" si="18"/>
        <v>2.5265285497726126E-4</v>
      </c>
      <c r="Y82" s="41">
        <f t="shared" si="19"/>
        <v>1.2403100775193799E-3</v>
      </c>
      <c r="Z82" s="44">
        <f t="shared" si="20"/>
        <v>7.2801397786837504E-4</v>
      </c>
      <c r="AA82" s="10">
        <f t="shared" si="15"/>
        <v>4</v>
      </c>
      <c r="AB82" s="45" t="str">
        <f t="shared" si="21"/>
        <v>Hares</v>
      </c>
    </row>
    <row r="83" spans="3:28">
      <c r="C83" s="25" t="s">
        <v>117</v>
      </c>
      <c r="D83" s="25" t="s">
        <v>26</v>
      </c>
      <c r="E83" s="25" t="s">
        <v>27</v>
      </c>
      <c r="F83" s="30">
        <v>456030</v>
      </c>
      <c r="G83" s="4">
        <f t="shared" si="6"/>
        <v>22801.5</v>
      </c>
      <c r="H83" s="30">
        <v>10000</v>
      </c>
      <c r="I83" s="4">
        <f t="shared" si="16"/>
        <v>488831.5</v>
      </c>
      <c r="J83" s="30">
        <v>0</v>
      </c>
      <c r="K83" s="4">
        <f t="shared" si="17"/>
        <v>488831.5</v>
      </c>
      <c r="L83" s="4">
        <f t="shared" si="7"/>
        <v>488831.5</v>
      </c>
      <c r="M83" s="25">
        <v>1</v>
      </c>
      <c r="N83" s="30">
        <v>0</v>
      </c>
      <c r="O83" s="3">
        <f t="shared" si="8"/>
        <v>1</v>
      </c>
      <c r="P83" s="33">
        <v>45455</v>
      </c>
      <c r="Q83" s="46">
        <f t="shared" si="9"/>
        <v>2024</v>
      </c>
      <c r="R83" s="4" t="str">
        <f t="shared" si="10"/>
        <v>June</v>
      </c>
      <c r="S83" s="4">
        <f t="shared" si="11"/>
        <v>12</v>
      </c>
      <c r="T83" s="36">
        <v>45835</v>
      </c>
      <c r="U83" s="7">
        <f t="shared" si="12"/>
        <v>2025</v>
      </c>
      <c r="V83" s="4" t="str">
        <f t="shared" si="13"/>
        <v>June</v>
      </c>
      <c r="W83" s="4">
        <f t="shared" si="14"/>
        <v>27</v>
      </c>
      <c r="X83" s="41">
        <f t="shared" si="18"/>
        <v>2.5265285497726126E-4</v>
      </c>
      <c r="Y83" s="41">
        <f t="shared" si="19"/>
        <v>0</v>
      </c>
      <c r="Z83" s="44">
        <f t="shared" si="20"/>
        <v>1.4560279557367502E-4</v>
      </c>
      <c r="AA83" s="10">
        <f t="shared" si="15"/>
        <v>0</v>
      </c>
      <c r="AB83" s="45" t="str">
        <f t="shared" si="21"/>
        <v>Hares</v>
      </c>
    </row>
    <row r="84" spans="3:28">
      <c r="C84" s="25" t="s">
        <v>118</v>
      </c>
      <c r="D84" s="25" t="s">
        <v>26</v>
      </c>
      <c r="E84" s="25" t="s">
        <v>27</v>
      </c>
      <c r="F84" s="30">
        <v>1111499</v>
      </c>
      <c r="G84" s="4">
        <f t="shared" si="6"/>
        <v>55574.950000000004</v>
      </c>
      <c r="H84" s="30">
        <v>20000</v>
      </c>
      <c r="I84" s="4">
        <f t="shared" si="16"/>
        <v>1187073.95</v>
      </c>
      <c r="J84" s="30">
        <v>0</v>
      </c>
      <c r="K84" s="4">
        <f t="shared" si="17"/>
        <v>1187073.95</v>
      </c>
      <c r="L84" s="4">
        <f t="shared" si="7"/>
        <v>1187073.95</v>
      </c>
      <c r="M84" s="25">
        <v>1</v>
      </c>
      <c r="N84" s="30">
        <v>1</v>
      </c>
      <c r="O84" s="3">
        <f t="shared" si="8"/>
        <v>2</v>
      </c>
      <c r="P84" s="33">
        <v>45453</v>
      </c>
      <c r="Q84" s="46">
        <f t="shared" si="9"/>
        <v>2024</v>
      </c>
      <c r="R84" s="4" t="str">
        <f t="shared" si="10"/>
        <v>June</v>
      </c>
      <c r="S84" s="4">
        <f t="shared" si="11"/>
        <v>10</v>
      </c>
      <c r="T84" s="36">
        <v>45817</v>
      </c>
      <c r="U84" s="7">
        <f t="shared" si="12"/>
        <v>2025</v>
      </c>
      <c r="V84" s="4" t="str">
        <f t="shared" si="13"/>
        <v>June</v>
      </c>
      <c r="W84" s="4">
        <f t="shared" si="14"/>
        <v>27</v>
      </c>
      <c r="X84" s="41">
        <f t="shared" si="18"/>
        <v>2.5265285497726126E-4</v>
      </c>
      <c r="Y84" s="41">
        <f t="shared" si="19"/>
        <v>3.1007751937984498E-4</v>
      </c>
      <c r="Z84" s="44">
        <f t="shared" si="20"/>
        <v>2.9120559114735004E-4</v>
      </c>
      <c r="AA84" s="10">
        <f t="shared" si="15"/>
        <v>1</v>
      </c>
      <c r="AB84" s="45" t="str">
        <f t="shared" si="21"/>
        <v>Hares</v>
      </c>
    </row>
    <row r="85" spans="3:28">
      <c r="C85" s="25" t="s">
        <v>119</v>
      </c>
      <c r="D85" s="25" t="s">
        <v>26</v>
      </c>
      <c r="E85" s="25" t="s">
        <v>27</v>
      </c>
      <c r="F85" s="30">
        <v>510698</v>
      </c>
      <c r="G85" s="4">
        <f t="shared" si="6"/>
        <v>25534.9</v>
      </c>
      <c r="H85" s="30">
        <v>10000</v>
      </c>
      <c r="I85" s="4">
        <f t="shared" si="16"/>
        <v>546232.9</v>
      </c>
      <c r="J85" s="30">
        <v>0</v>
      </c>
      <c r="K85" s="4">
        <f t="shared" si="17"/>
        <v>546232.9</v>
      </c>
      <c r="L85" s="4">
        <f t="shared" si="7"/>
        <v>546232.9</v>
      </c>
      <c r="M85" s="25">
        <v>1</v>
      </c>
      <c r="N85" s="30">
        <v>0</v>
      </c>
      <c r="O85" s="3">
        <f t="shared" si="8"/>
        <v>1</v>
      </c>
      <c r="P85" s="33">
        <v>45456</v>
      </c>
      <c r="Q85" s="46">
        <f t="shared" si="9"/>
        <v>2024</v>
      </c>
      <c r="R85" s="4" t="str">
        <f t="shared" si="10"/>
        <v>June</v>
      </c>
      <c r="S85" s="4">
        <f t="shared" si="11"/>
        <v>13</v>
      </c>
      <c r="T85" s="36">
        <v>45820</v>
      </c>
      <c r="U85" s="7">
        <f t="shared" si="12"/>
        <v>2025</v>
      </c>
      <c r="V85" s="4" t="str">
        <f t="shared" si="13"/>
        <v>June</v>
      </c>
      <c r="W85" s="4">
        <f t="shared" si="14"/>
        <v>9</v>
      </c>
      <c r="X85" s="41">
        <f t="shared" si="18"/>
        <v>2.5265285497726126E-4</v>
      </c>
      <c r="Y85" s="41">
        <f t="shared" si="19"/>
        <v>0</v>
      </c>
      <c r="Z85" s="44">
        <f t="shared" si="20"/>
        <v>1.4560279557367502E-4</v>
      </c>
      <c r="AA85" s="10">
        <f t="shared" si="15"/>
        <v>0</v>
      </c>
      <c r="AB85" s="45" t="str">
        <f t="shared" si="21"/>
        <v>Hares</v>
      </c>
    </row>
    <row r="86" spans="3:28">
      <c r="C86" s="25" t="s">
        <v>120</v>
      </c>
      <c r="D86" s="25" t="s">
        <v>26</v>
      </c>
      <c r="E86" s="25" t="s">
        <v>27</v>
      </c>
      <c r="F86" s="30">
        <v>1499117</v>
      </c>
      <c r="G86" s="4">
        <f t="shared" si="6"/>
        <v>74955.850000000006</v>
      </c>
      <c r="H86" s="30">
        <v>30000</v>
      </c>
      <c r="I86" s="4">
        <f t="shared" si="16"/>
        <v>1604072.85</v>
      </c>
      <c r="J86" s="30">
        <v>0</v>
      </c>
      <c r="K86" s="4">
        <f t="shared" si="17"/>
        <v>1604072.85</v>
      </c>
      <c r="L86" s="4">
        <f t="shared" si="7"/>
        <v>1604072.85</v>
      </c>
      <c r="M86" s="25">
        <v>1</v>
      </c>
      <c r="N86" s="30">
        <v>2</v>
      </c>
      <c r="O86" s="3">
        <f t="shared" si="8"/>
        <v>3</v>
      </c>
      <c r="P86" s="33">
        <v>45456</v>
      </c>
      <c r="Q86" s="46">
        <f t="shared" si="9"/>
        <v>2024</v>
      </c>
      <c r="R86" s="4" t="str">
        <f t="shared" si="10"/>
        <v>June</v>
      </c>
      <c r="S86" s="4">
        <f t="shared" si="11"/>
        <v>13</v>
      </c>
      <c r="T86" s="36">
        <v>45820</v>
      </c>
      <c r="U86" s="7">
        <f t="shared" si="12"/>
        <v>2025</v>
      </c>
      <c r="V86" s="4" t="str">
        <f t="shared" si="13"/>
        <v>June</v>
      </c>
      <c r="W86" s="4">
        <f t="shared" si="14"/>
        <v>12</v>
      </c>
      <c r="X86" s="41">
        <f t="shared" si="18"/>
        <v>2.5265285497726126E-4</v>
      </c>
      <c r="Y86" s="41">
        <f t="shared" si="19"/>
        <v>6.2015503875968996E-4</v>
      </c>
      <c r="Z86" s="44">
        <f t="shared" si="20"/>
        <v>4.3680838672102506E-4</v>
      </c>
      <c r="AA86" s="10">
        <f t="shared" si="15"/>
        <v>2</v>
      </c>
      <c r="AB86" s="45" t="str">
        <f t="shared" si="21"/>
        <v>Hares</v>
      </c>
    </row>
    <row r="87" spans="3:28">
      <c r="C87" s="25" t="s">
        <v>121</v>
      </c>
      <c r="D87" s="25" t="s">
        <v>26</v>
      </c>
      <c r="E87" s="25" t="s">
        <v>27</v>
      </c>
      <c r="F87" s="30">
        <v>1321000</v>
      </c>
      <c r="G87" s="4">
        <f t="shared" si="6"/>
        <v>66050</v>
      </c>
      <c r="H87" s="30">
        <v>30000</v>
      </c>
      <c r="I87" s="4">
        <f t="shared" si="16"/>
        <v>1417050</v>
      </c>
      <c r="J87" s="30">
        <v>0</v>
      </c>
      <c r="K87" s="4">
        <f t="shared" si="17"/>
        <v>1417050</v>
      </c>
      <c r="L87" s="4">
        <f t="shared" si="7"/>
        <v>1417050</v>
      </c>
      <c r="M87" s="25">
        <v>1</v>
      </c>
      <c r="N87" s="30">
        <v>2</v>
      </c>
      <c r="O87" s="3">
        <f t="shared" si="8"/>
        <v>3</v>
      </c>
      <c r="P87" s="33">
        <v>45462</v>
      </c>
      <c r="Q87" s="46">
        <f t="shared" si="9"/>
        <v>2024</v>
      </c>
      <c r="R87" s="4" t="str">
        <f t="shared" si="10"/>
        <v>June</v>
      </c>
      <c r="S87" s="4">
        <f t="shared" si="11"/>
        <v>19</v>
      </c>
      <c r="T87" s="36">
        <v>45826</v>
      </c>
      <c r="U87" s="7">
        <f t="shared" si="12"/>
        <v>2025</v>
      </c>
      <c r="V87" s="4" t="str">
        <f t="shared" si="13"/>
        <v>June</v>
      </c>
      <c r="W87" s="4">
        <f t="shared" si="14"/>
        <v>12</v>
      </c>
      <c r="X87" s="41">
        <f t="shared" si="18"/>
        <v>2.5265285497726126E-4</v>
      </c>
      <c r="Y87" s="41">
        <f t="shared" si="19"/>
        <v>6.2015503875968996E-4</v>
      </c>
      <c r="Z87" s="44">
        <f t="shared" si="20"/>
        <v>4.3680838672102506E-4</v>
      </c>
      <c r="AA87" s="10">
        <f t="shared" si="15"/>
        <v>2</v>
      </c>
      <c r="AB87" s="45" t="str">
        <f t="shared" si="21"/>
        <v>Hares</v>
      </c>
    </row>
    <row r="88" spans="3:28">
      <c r="C88" s="25" t="s">
        <v>122</v>
      </c>
      <c r="D88" s="25" t="s">
        <v>26</v>
      </c>
      <c r="E88" s="25" t="s">
        <v>27</v>
      </c>
      <c r="F88" s="30">
        <v>157313</v>
      </c>
      <c r="G88" s="4">
        <f t="shared" si="6"/>
        <v>7865.6500000000005</v>
      </c>
      <c r="H88" s="30">
        <v>0</v>
      </c>
      <c r="I88" s="4">
        <f t="shared" si="16"/>
        <v>165178.65</v>
      </c>
      <c r="J88" s="30">
        <v>0</v>
      </c>
      <c r="K88" s="4">
        <f t="shared" si="17"/>
        <v>165178.65</v>
      </c>
      <c r="L88" s="4">
        <f t="shared" si="7"/>
        <v>165178.65</v>
      </c>
      <c r="M88" s="25">
        <v>1</v>
      </c>
      <c r="N88" s="30">
        <v>0</v>
      </c>
      <c r="O88" s="3">
        <f t="shared" si="8"/>
        <v>1</v>
      </c>
      <c r="P88" s="33">
        <v>45461</v>
      </c>
      <c r="Q88" s="46">
        <f t="shared" si="9"/>
        <v>2024</v>
      </c>
      <c r="R88" s="4" t="str">
        <f t="shared" si="10"/>
        <v>June</v>
      </c>
      <c r="S88" s="4">
        <f t="shared" si="11"/>
        <v>18</v>
      </c>
      <c r="T88" s="36">
        <v>45825</v>
      </c>
      <c r="U88" s="7">
        <f t="shared" si="12"/>
        <v>2025</v>
      </c>
      <c r="V88" s="4" t="str">
        <f t="shared" si="13"/>
        <v>June</v>
      </c>
      <c r="W88" s="4">
        <f t="shared" si="14"/>
        <v>18</v>
      </c>
      <c r="X88" s="41">
        <f t="shared" si="18"/>
        <v>2.5265285497726126E-4</v>
      </c>
      <c r="Y88" s="41">
        <f t="shared" si="19"/>
        <v>0</v>
      </c>
      <c r="Z88" s="44">
        <f t="shared" si="20"/>
        <v>1.4560279557367502E-4</v>
      </c>
      <c r="AA88" s="10">
        <f t="shared" si="15"/>
        <v>0</v>
      </c>
      <c r="AB88" s="45" t="str">
        <f t="shared" si="21"/>
        <v>Hares</v>
      </c>
    </row>
    <row r="89" spans="3:28">
      <c r="C89" s="25" t="s">
        <v>123</v>
      </c>
      <c r="D89" s="25" t="s">
        <v>26</v>
      </c>
      <c r="E89" s="25" t="s">
        <v>27</v>
      </c>
      <c r="F89" s="30">
        <f>2580935+16648201</f>
        <v>19229136</v>
      </c>
      <c r="G89" s="4">
        <f t="shared" si="6"/>
        <v>961456.8</v>
      </c>
      <c r="H89" s="30">
        <v>320000</v>
      </c>
      <c r="I89" s="4">
        <f t="shared" si="16"/>
        <v>20510592.800000001</v>
      </c>
      <c r="J89" s="30">
        <v>0</v>
      </c>
      <c r="K89" s="4">
        <f t="shared" si="17"/>
        <v>20510592.800000001</v>
      </c>
      <c r="L89" s="4">
        <f t="shared" si="7"/>
        <v>976694.89523809531</v>
      </c>
      <c r="M89" s="25">
        <v>21</v>
      </c>
      <c r="N89" s="30">
        <f>64-21</f>
        <v>43</v>
      </c>
      <c r="O89" s="3">
        <f t="shared" si="8"/>
        <v>64</v>
      </c>
      <c r="P89" s="33">
        <v>45464</v>
      </c>
      <c r="Q89" s="46">
        <f t="shared" si="9"/>
        <v>2024</v>
      </c>
      <c r="R89" s="4" t="str">
        <f t="shared" si="10"/>
        <v>June</v>
      </c>
      <c r="S89" s="4">
        <f t="shared" si="11"/>
        <v>21</v>
      </c>
      <c r="T89" s="36">
        <v>45828</v>
      </c>
      <c r="U89" s="7">
        <f t="shared" si="12"/>
        <v>2025</v>
      </c>
      <c r="V89" s="4" t="str">
        <f t="shared" si="13"/>
        <v>June</v>
      </c>
      <c r="W89" s="4">
        <f t="shared" si="14"/>
        <v>17</v>
      </c>
      <c r="X89" s="41">
        <f t="shared" si="18"/>
        <v>5.3057099545224858E-3</v>
      </c>
      <c r="Y89" s="41">
        <f t="shared" si="19"/>
        <v>1.3333333333333334E-2</v>
      </c>
      <c r="Z89" s="44">
        <f t="shared" si="20"/>
        <v>9.3185789167152012E-3</v>
      </c>
      <c r="AA89" s="10">
        <f t="shared" si="15"/>
        <v>2.0476190476190474</v>
      </c>
      <c r="AB89" s="45" t="str">
        <f t="shared" si="21"/>
        <v>Hares</v>
      </c>
    </row>
    <row r="90" spans="3:28">
      <c r="C90" s="25" t="s">
        <v>124</v>
      </c>
      <c r="D90" s="25" t="s">
        <v>26</v>
      </c>
      <c r="E90" s="25" t="s">
        <v>27</v>
      </c>
      <c r="F90" s="30">
        <v>5159580</v>
      </c>
      <c r="G90" s="4">
        <f t="shared" si="6"/>
        <v>257979</v>
      </c>
      <c r="H90" s="30">
        <f>230000+110000</f>
        <v>340000</v>
      </c>
      <c r="I90" s="4">
        <f t="shared" si="16"/>
        <v>5757559</v>
      </c>
      <c r="J90" s="30">
        <v>0</v>
      </c>
      <c r="K90" s="4">
        <f t="shared" si="17"/>
        <v>5757559</v>
      </c>
      <c r="L90" s="4">
        <f t="shared" si="7"/>
        <v>822508.42857142852</v>
      </c>
      <c r="M90" s="25">
        <v>7</v>
      </c>
      <c r="N90" s="30">
        <v>27</v>
      </c>
      <c r="O90" s="3">
        <f t="shared" si="8"/>
        <v>34</v>
      </c>
      <c r="P90" s="33">
        <v>45462</v>
      </c>
      <c r="Q90" s="46">
        <f t="shared" si="9"/>
        <v>2024</v>
      </c>
      <c r="R90" s="4" t="str">
        <f t="shared" si="10"/>
        <v>June</v>
      </c>
      <c r="S90" s="4">
        <f t="shared" si="11"/>
        <v>19</v>
      </c>
      <c r="T90" s="36">
        <v>45826</v>
      </c>
      <c r="U90" s="7">
        <f t="shared" si="12"/>
        <v>2025</v>
      </c>
      <c r="V90" s="4" t="str">
        <f t="shared" si="13"/>
        <v>June</v>
      </c>
      <c r="W90" s="4">
        <f t="shared" si="14"/>
        <v>20</v>
      </c>
      <c r="X90" s="41">
        <f t="shared" si="18"/>
        <v>1.7685699848408287E-3</v>
      </c>
      <c r="Y90" s="41">
        <f t="shared" si="19"/>
        <v>8.3720930232558145E-3</v>
      </c>
      <c r="Z90" s="44">
        <f t="shared" si="20"/>
        <v>4.9504950495049506E-3</v>
      </c>
      <c r="AA90" s="10">
        <f t="shared" si="15"/>
        <v>3.8571428571428572</v>
      </c>
      <c r="AB90" s="45" t="str">
        <f t="shared" si="21"/>
        <v>Hares</v>
      </c>
    </row>
    <row r="91" spans="3:28">
      <c r="C91" s="26" t="s">
        <v>125</v>
      </c>
      <c r="D91" s="54" t="s">
        <v>26</v>
      </c>
      <c r="E91" s="28" t="s">
        <v>27</v>
      </c>
      <c r="F91" s="31">
        <v>1381142</v>
      </c>
      <c r="G91" s="4">
        <f t="shared" si="6"/>
        <v>69057.100000000006</v>
      </c>
      <c r="H91" s="31">
        <v>30000</v>
      </c>
      <c r="I91" s="4">
        <f t="shared" si="16"/>
        <v>1480199.1</v>
      </c>
      <c r="J91" s="31" t="s">
        <v>151</v>
      </c>
      <c r="K91" s="4">
        <f t="shared" si="17"/>
        <v>1480199.1</v>
      </c>
      <c r="L91" s="4">
        <f t="shared" si="7"/>
        <v>1480199.1</v>
      </c>
      <c r="M91" s="39">
        <v>1</v>
      </c>
      <c r="N91" s="31">
        <v>2</v>
      </c>
      <c r="O91" s="3">
        <f t="shared" si="8"/>
        <v>3</v>
      </c>
      <c r="P91" s="34">
        <v>45468</v>
      </c>
      <c r="Q91" s="46">
        <f t="shared" si="9"/>
        <v>2024</v>
      </c>
      <c r="R91" s="4" t="str">
        <f t="shared" si="10"/>
        <v>June</v>
      </c>
      <c r="S91" s="4">
        <f t="shared" si="11"/>
        <v>25</v>
      </c>
      <c r="T91" s="37">
        <v>45832</v>
      </c>
      <c r="U91" s="7">
        <f t="shared" si="12"/>
        <v>2025</v>
      </c>
      <c r="V91" s="4" t="str">
        <f t="shared" si="13"/>
        <v>June</v>
      </c>
      <c r="W91" s="4">
        <f t="shared" si="14"/>
        <v>18</v>
      </c>
      <c r="X91" s="41">
        <f t="shared" si="18"/>
        <v>2.5265285497726126E-4</v>
      </c>
      <c r="Y91" s="41">
        <f t="shared" si="19"/>
        <v>6.2015503875968996E-4</v>
      </c>
      <c r="Z91" s="44">
        <f t="shared" si="20"/>
        <v>4.3680838672102506E-4</v>
      </c>
      <c r="AA91" s="10">
        <f t="shared" si="15"/>
        <v>2</v>
      </c>
      <c r="AB91" s="45" t="str">
        <f t="shared" si="21"/>
        <v>Hares</v>
      </c>
    </row>
    <row r="92" spans="3:28">
      <c r="C92" s="27" t="s">
        <v>126</v>
      </c>
      <c r="D92" s="55" t="s">
        <v>26</v>
      </c>
      <c r="E92" s="29" t="s">
        <v>27</v>
      </c>
      <c r="F92" s="32">
        <v>464822</v>
      </c>
      <c r="G92" s="4">
        <f t="shared" si="6"/>
        <v>23241.100000000002</v>
      </c>
      <c r="H92" s="32">
        <v>10000</v>
      </c>
      <c r="I92" s="4">
        <f t="shared" si="16"/>
        <v>498063.1</v>
      </c>
      <c r="J92" s="32"/>
      <c r="K92" s="4">
        <f t="shared" si="17"/>
        <v>498063.1</v>
      </c>
      <c r="L92" s="4">
        <f t="shared" si="7"/>
        <v>498063.1</v>
      </c>
      <c r="M92" s="40">
        <v>1</v>
      </c>
      <c r="N92" s="32"/>
      <c r="O92" s="3">
        <f t="shared" si="8"/>
        <v>1</v>
      </c>
      <c r="P92" s="35">
        <v>45468</v>
      </c>
      <c r="Q92" s="46">
        <f t="shared" si="9"/>
        <v>2024</v>
      </c>
      <c r="R92" s="4" t="str">
        <f t="shared" si="10"/>
        <v>June</v>
      </c>
      <c r="S92" s="4">
        <f t="shared" si="11"/>
        <v>25</v>
      </c>
      <c r="T92" s="38">
        <v>45832</v>
      </c>
      <c r="U92" s="7">
        <f t="shared" si="12"/>
        <v>2025</v>
      </c>
      <c r="V92" s="4" t="str">
        <f t="shared" si="13"/>
        <v>June</v>
      </c>
      <c r="W92" s="4">
        <f t="shared" si="14"/>
        <v>24</v>
      </c>
      <c r="X92" s="41">
        <f t="shared" si="18"/>
        <v>2.5265285497726126E-4</v>
      </c>
      <c r="Y92" s="41">
        <f t="shared" si="19"/>
        <v>0</v>
      </c>
      <c r="Z92" s="44">
        <f t="shared" si="20"/>
        <v>1.4560279557367502E-4</v>
      </c>
      <c r="AA92" s="10">
        <f t="shared" si="15"/>
        <v>0</v>
      </c>
      <c r="AB92" s="45" t="str">
        <f t="shared" si="21"/>
        <v>Hares</v>
      </c>
    </row>
    <row r="93" spans="3:28">
      <c r="C93" s="25" t="s">
        <v>127</v>
      </c>
      <c r="D93" s="55" t="s">
        <v>26</v>
      </c>
      <c r="E93" s="25" t="s">
        <v>27</v>
      </c>
      <c r="F93" s="30">
        <v>2999400</v>
      </c>
      <c r="G93" s="4">
        <f t="shared" si="6"/>
        <v>149970</v>
      </c>
      <c r="H93" s="30">
        <v>40000</v>
      </c>
      <c r="I93" s="4">
        <f t="shared" si="16"/>
        <v>3189370</v>
      </c>
      <c r="J93" s="30">
        <v>0</v>
      </c>
      <c r="K93" s="4">
        <f t="shared" si="17"/>
        <v>3189370</v>
      </c>
      <c r="L93" s="4">
        <f t="shared" si="7"/>
        <v>1594685</v>
      </c>
      <c r="M93" s="25">
        <v>2</v>
      </c>
      <c r="N93" s="30">
        <v>2</v>
      </c>
      <c r="O93" s="3">
        <f t="shared" si="8"/>
        <v>4</v>
      </c>
      <c r="P93" s="35">
        <v>45467</v>
      </c>
      <c r="Q93" s="46">
        <f t="shared" si="9"/>
        <v>2024</v>
      </c>
      <c r="R93" s="4" t="str">
        <f t="shared" si="10"/>
        <v>June</v>
      </c>
      <c r="S93" s="4">
        <f t="shared" si="11"/>
        <v>24</v>
      </c>
      <c r="T93" s="38">
        <v>45831</v>
      </c>
      <c r="U93" s="7">
        <f t="shared" si="12"/>
        <v>2025</v>
      </c>
      <c r="V93" s="4" t="str">
        <f t="shared" si="13"/>
        <v>June</v>
      </c>
      <c r="W93" s="4">
        <f t="shared" si="14"/>
        <v>24</v>
      </c>
      <c r="X93" s="41">
        <f t="shared" si="18"/>
        <v>5.0530570995452253E-4</v>
      </c>
      <c r="Y93" s="41">
        <f t="shared" si="19"/>
        <v>6.2015503875968996E-4</v>
      </c>
      <c r="Z93" s="44">
        <f t="shared" si="20"/>
        <v>5.8241118229470008E-4</v>
      </c>
      <c r="AA93" s="10">
        <f t="shared" si="15"/>
        <v>1</v>
      </c>
      <c r="AB93" s="45" t="str">
        <f t="shared" si="21"/>
        <v>Hares</v>
      </c>
    </row>
    <row r="94" spans="3:28">
      <c r="C94" s="25" t="s">
        <v>128</v>
      </c>
      <c r="D94" s="55" t="s">
        <v>26</v>
      </c>
      <c r="E94" s="25" t="s">
        <v>27</v>
      </c>
      <c r="F94" s="30">
        <v>6179754</v>
      </c>
      <c r="G94" s="4">
        <f t="shared" si="6"/>
        <v>308987.7</v>
      </c>
      <c r="H94" s="30">
        <v>210000</v>
      </c>
      <c r="I94" s="4">
        <f t="shared" si="16"/>
        <v>6698741.7000000002</v>
      </c>
      <c r="J94" s="30">
        <v>0</v>
      </c>
      <c r="K94" s="4">
        <f t="shared" si="17"/>
        <v>6698741.7000000002</v>
      </c>
      <c r="L94" s="4">
        <f t="shared" si="7"/>
        <v>318987.7</v>
      </c>
      <c r="M94" s="25">
        <v>21</v>
      </c>
      <c r="N94" s="30">
        <v>0</v>
      </c>
      <c r="O94" s="3">
        <f t="shared" si="8"/>
        <v>21</v>
      </c>
      <c r="P94" s="35">
        <v>45475</v>
      </c>
      <c r="Q94" s="46">
        <f t="shared" si="9"/>
        <v>2024</v>
      </c>
      <c r="R94" s="4" t="str">
        <f t="shared" si="10"/>
        <v>July</v>
      </c>
      <c r="S94" s="4">
        <f t="shared" si="11"/>
        <v>2</v>
      </c>
      <c r="T94" s="38">
        <v>45839</v>
      </c>
      <c r="U94" s="7">
        <f t="shared" si="12"/>
        <v>2025</v>
      </c>
      <c r="V94" s="4" t="str">
        <f t="shared" si="13"/>
        <v>July</v>
      </c>
      <c r="W94" s="4">
        <f t="shared" si="14"/>
        <v>23</v>
      </c>
      <c r="X94" s="41">
        <f t="shared" si="18"/>
        <v>5.3057099545224858E-3</v>
      </c>
      <c r="Y94" s="41">
        <f t="shared" si="19"/>
        <v>0</v>
      </c>
      <c r="Z94" s="44">
        <f t="shared" si="20"/>
        <v>3.0576587070471751E-3</v>
      </c>
      <c r="AA94" s="10">
        <f t="shared" si="15"/>
        <v>0</v>
      </c>
      <c r="AB94" s="45" t="str">
        <f t="shared" si="21"/>
        <v>Hares</v>
      </c>
    </row>
    <row r="95" spans="3:28">
      <c r="C95" s="25" t="s">
        <v>129</v>
      </c>
      <c r="D95" s="55" t="s">
        <v>26</v>
      </c>
      <c r="E95" s="25" t="s">
        <v>27</v>
      </c>
      <c r="F95" s="30">
        <v>1595848</v>
      </c>
      <c r="G95" s="4">
        <f t="shared" si="6"/>
        <v>79792.400000000009</v>
      </c>
      <c r="H95" s="30">
        <v>40000</v>
      </c>
      <c r="I95" s="4">
        <f t="shared" si="16"/>
        <v>1715640.4</v>
      </c>
      <c r="J95" s="30">
        <v>0</v>
      </c>
      <c r="K95" s="4">
        <f t="shared" si="17"/>
        <v>1715640.4</v>
      </c>
      <c r="L95" s="4">
        <f t="shared" si="7"/>
        <v>428910.1</v>
      </c>
      <c r="M95" s="25">
        <v>4</v>
      </c>
      <c r="N95" s="30">
        <v>3</v>
      </c>
      <c r="O95" s="3">
        <f t="shared" si="8"/>
        <v>7</v>
      </c>
      <c r="P95" s="35">
        <v>45483</v>
      </c>
      <c r="Q95" s="46">
        <f t="shared" si="9"/>
        <v>2024</v>
      </c>
      <c r="R95" s="4" t="str">
        <f t="shared" si="10"/>
        <v>July</v>
      </c>
      <c r="S95" s="4">
        <f t="shared" si="11"/>
        <v>10</v>
      </c>
      <c r="T95" s="38">
        <v>45847</v>
      </c>
      <c r="U95" s="7">
        <f t="shared" si="12"/>
        <v>2025</v>
      </c>
      <c r="V95" s="4" t="str">
        <f t="shared" si="13"/>
        <v>July</v>
      </c>
      <c r="W95" s="4">
        <f t="shared" si="14"/>
        <v>1</v>
      </c>
      <c r="X95" s="41">
        <f t="shared" si="18"/>
        <v>1.0106114199090451E-3</v>
      </c>
      <c r="Y95" s="41">
        <f t="shared" si="19"/>
        <v>9.3023255813953494E-4</v>
      </c>
      <c r="Z95" s="44">
        <f t="shared" si="20"/>
        <v>1.0192195690157252E-3</v>
      </c>
      <c r="AA95" s="10">
        <f t="shared" si="15"/>
        <v>0.75</v>
      </c>
      <c r="AB95" s="45" t="str">
        <f t="shared" si="21"/>
        <v>Hares</v>
      </c>
    </row>
    <row r="96" spans="3:28">
      <c r="C96" s="25" t="s">
        <v>130</v>
      </c>
      <c r="D96" s="55" t="s">
        <v>26</v>
      </c>
      <c r="E96" s="25" t="s">
        <v>29</v>
      </c>
      <c r="F96" s="30">
        <v>56151579</v>
      </c>
      <c r="G96" s="4">
        <f t="shared" si="6"/>
        <v>2807578.95</v>
      </c>
      <c r="H96" s="30">
        <v>965000</v>
      </c>
      <c r="I96" s="4">
        <f t="shared" si="16"/>
        <v>59924157.950000003</v>
      </c>
      <c r="J96" s="30">
        <v>0</v>
      </c>
      <c r="K96" s="4">
        <f t="shared" si="17"/>
        <v>59924157.950000003</v>
      </c>
      <c r="L96" s="4">
        <f t="shared" si="7"/>
        <v>1033175.1370689656</v>
      </c>
      <c r="M96" s="25">
        <v>58</v>
      </c>
      <c r="N96" s="30">
        <v>135</v>
      </c>
      <c r="O96" s="3">
        <f t="shared" si="8"/>
        <v>193</v>
      </c>
      <c r="P96" s="35">
        <v>45484</v>
      </c>
      <c r="Q96" s="46">
        <f t="shared" si="9"/>
        <v>2024</v>
      </c>
      <c r="R96" s="4" t="str">
        <f t="shared" si="10"/>
        <v>July</v>
      </c>
      <c r="S96" s="4">
        <f t="shared" si="11"/>
        <v>11</v>
      </c>
      <c r="T96" s="38">
        <v>45848</v>
      </c>
      <c r="U96" s="7">
        <f t="shared" si="12"/>
        <v>2025</v>
      </c>
      <c r="V96" s="4" t="str">
        <f t="shared" si="13"/>
        <v>July</v>
      </c>
      <c r="W96" s="4">
        <f t="shared" si="14"/>
        <v>9</v>
      </c>
      <c r="X96" s="41">
        <f t="shared" si="18"/>
        <v>1.4653865588681153E-2</v>
      </c>
      <c r="Y96" s="41">
        <f t="shared" si="19"/>
        <v>4.1860465116279069E-2</v>
      </c>
      <c r="Z96" s="44">
        <f t="shared" si="20"/>
        <v>2.8101339545719278E-2</v>
      </c>
      <c r="AA96" s="10">
        <f t="shared" si="15"/>
        <v>2.3275862068965516</v>
      </c>
      <c r="AB96" s="45" t="str">
        <f t="shared" si="21"/>
        <v>Tigers</v>
      </c>
    </row>
    <row r="97" spans="3:28">
      <c r="C97" s="25" t="s">
        <v>131</v>
      </c>
      <c r="D97" s="55" t="s">
        <v>26</v>
      </c>
      <c r="E97" s="25" t="s">
        <v>27</v>
      </c>
      <c r="F97" s="30">
        <v>620086</v>
      </c>
      <c r="G97" s="4">
        <f t="shared" si="6"/>
        <v>31004.300000000003</v>
      </c>
      <c r="H97" s="30">
        <v>10000</v>
      </c>
      <c r="I97" s="4">
        <f t="shared" si="16"/>
        <v>661090.30000000005</v>
      </c>
      <c r="J97" s="30">
        <v>0</v>
      </c>
      <c r="K97" s="4">
        <f t="shared" si="17"/>
        <v>661090.30000000005</v>
      </c>
      <c r="L97" s="4">
        <f t="shared" si="7"/>
        <v>661090.30000000005</v>
      </c>
      <c r="M97" s="25">
        <v>1</v>
      </c>
      <c r="N97" s="30">
        <v>0</v>
      </c>
      <c r="O97" s="3">
        <f t="shared" si="8"/>
        <v>1</v>
      </c>
      <c r="P97" s="35">
        <v>45485</v>
      </c>
      <c r="Q97" s="46">
        <f t="shared" si="9"/>
        <v>2024</v>
      </c>
      <c r="R97" s="4" t="str">
        <f t="shared" si="10"/>
        <v>July</v>
      </c>
      <c r="S97" s="4">
        <f t="shared" si="11"/>
        <v>12</v>
      </c>
      <c r="T97" s="38">
        <v>45849</v>
      </c>
      <c r="U97" s="7">
        <f t="shared" si="12"/>
        <v>2025</v>
      </c>
      <c r="V97" s="4" t="str">
        <f t="shared" si="13"/>
        <v>July</v>
      </c>
      <c r="W97" s="4">
        <f t="shared" si="14"/>
        <v>10</v>
      </c>
      <c r="X97" s="41">
        <f t="shared" si="18"/>
        <v>2.5265285497726126E-4</v>
      </c>
      <c r="Y97" s="41">
        <f t="shared" si="19"/>
        <v>0</v>
      </c>
      <c r="Z97" s="44">
        <f t="shared" si="20"/>
        <v>1.4560279557367502E-4</v>
      </c>
      <c r="AA97" s="10">
        <f t="shared" si="15"/>
        <v>0</v>
      </c>
      <c r="AB97" s="45" t="str">
        <f t="shared" si="21"/>
        <v>Hares</v>
      </c>
    </row>
    <row r="98" spans="3:28">
      <c r="C98" s="25" t="s">
        <v>132</v>
      </c>
      <c r="D98" s="55" t="s">
        <v>26</v>
      </c>
      <c r="E98" s="25" t="s">
        <v>29</v>
      </c>
      <c r="F98" s="30">
        <v>25154667</v>
      </c>
      <c r="G98" s="4">
        <f t="shared" si="6"/>
        <v>1257733.3500000001</v>
      </c>
      <c r="H98" s="30">
        <v>430000</v>
      </c>
      <c r="I98" s="4">
        <f t="shared" ref="I98:I129" si="22">SUM(F98:H98)</f>
        <v>26842400.350000001</v>
      </c>
      <c r="J98" s="30">
        <v>0</v>
      </c>
      <c r="K98" s="4">
        <f t="shared" ref="K98:K129" si="23">SUM(I98:J98)</f>
        <v>26842400.350000001</v>
      </c>
      <c r="L98" s="4">
        <f t="shared" si="7"/>
        <v>925600.01206896559</v>
      </c>
      <c r="M98" s="25">
        <v>29</v>
      </c>
      <c r="N98" s="30">
        <v>57</v>
      </c>
      <c r="O98" s="3">
        <f t="shared" si="8"/>
        <v>86</v>
      </c>
      <c r="P98" s="35">
        <v>45488</v>
      </c>
      <c r="Q98" s="46">
        <f t="shared" si="9"/>
        <v>2024</v>
      </c>
      <c r="R98" s="4" t="str">
        <f t="shared" si="10"/>
        <v>July</v>
      </c>
      <c r="S98" s="4">
        <f t="shared" si="11"/>
        <v>15</v>
      </c>
      <c r="T98" s="38">
        <v>45852</v>
      </c>
      <c r="U98" s="7">
        <f t="shared" si="12"/>
        <v>2025</v>
      </c>
      <c r="V98" s="4" t="str">
        <f t="shared" si="13"/>
        <v>July</v>
      </c>
      <c r="W98" s="4">
        <f t="shared" si="14"/>
        <v>11</v>
      </c>
      <c r="X98" s="41">
        <f t="shared" ref="X98:X120" si="24">M98/$M$133</f>
        <v>7.3269327943405764E-3</v>
      </c>
      <c r="Y98" s="41">
        <f t="shared" ref="Y98:Y120" si="25">N98/$N$133</f>
        <v>1.7674418604651163E-2</v>
      </c>
      <c r="Z98" s="44">
        <f t="shared" ref="Z98:Z120" si="26">O98/$O$133</f>
        <v>1.2521840419336051E-2</v>
      </c>
      <c r="AA98" s="10">
        <f t="shared" si="15"/>
        <v>1.9655172413793103</v>
      </c>
      <c r="AB98" s="45" t="str">
        <f t="shared" ref="AB98:AB120" si="27">_xlfn.XLOOKUP(M98, $A$114:$A$117, $B$114:$B$117, , 1)</f>
        <v>Hares</v>
      </c>
    </row>
    <row r="99" spans="3:28">
      <c r="C99" s="25" t="s">
        <v>133</v>
      </c>
      <c r="D99" s="55" t="s">
        <v>26</v>
      </c>
      <c r="E99" s="25" t="s">
        <v>29</v>
      </c>
      <c r="F99" s="30">
        <v>64200983</v>
      </c>
      <c r="G99" s="4">
        <f t="shared" si="6"/>
        <v>3210049.1500000004</v>
      </c>
      <c r="H99" s="30">
        <v>790000</v>
      </c>
      <c r="I99" s="4">
        <f t="shared" si="22"/>
        <v>68201032.150000006</v>
      </c>
      <c r="J99" s="30">
        <v>0</v>
      </c>
      <c r="K99" s="4">
        <f t="shared" si="23"/>
        <v>68201032.150000006</v>
      </c>
      <c r="L99" s="4">
        <f t="shared" si="7"/>
        <v>885727.69025974034</v>
      </c>
      <c r="M99" s="25">
        <v>77</v>
      </c>
      <c r="N99" s="30">
        <v>81</v>
      </c>
      <c r="O99" s="3">
        <f t="shared" si="8"/>
        <v>158</v>
      </c>
      <c r="P99" s="35">
        <v>45489</v>
      </c>
      <c r="Q99" s="46">
        <f t="shared" si="9"/>
        <v>2024</v>
      </c>
      <c r="R99" s="4" t="str">
        <f t="shared" si="10"/>
        <v>July</v>
      </c>
      <c r="S99" s="4">
        <f t="shared" si="11"/>
        <v>16</v>
      </c>
      <c r="T99" s="38">
        <v>45853</v>
      </c>
      <c r="U99" s="7">
        <f t="shared" si="12"/>
        <v>2025</v>
      </c>
      <c r="V99" s="4" t="str">
        <f t="shared" si="13"/>
        <v>July</v>
      </c>
      <c r="W99" s="4">
        <f t="shared" si="14"/>
        <v>14</v>
      </c>
      <c r="X99" s="41">
        <f t="shared" si="24"/>
        <v>1.9454269833249115E-2</v>
      </c>
      <c r="Y99" s="41">
        <f t="shared" si="25"/>
        <v>2.5116279069767444E-2</v>
      </c>
      <c r="Z99" s="44">
        <f t="shared" si="26"/>
        <v>2.3005241700640652E-2</v>
      </c>
      <c r="AA99" s="10">
        <f t="shared" si="15"/>
        <v>1.051948051948052</v>
      </c>
      <c r="AB99" s="45" t="str">
        <f t="shared" si="27"/>
        <v>Tigers</v>
      </c>
    </row>
    <row r="100" spans="3:28">
      <c r="C100" s="25" t="s">
        <v>134</v>
      </c>
      <c r="D100" s="55" t="s">
        <v>26</v>
      </c>
      <c r="E100" s="25" t="s">
        <v>27</v>
      </c>
      <c r="F100" s="30">
        <v>2206440</v>
      </c>
      <c r="G100" s="4">
        <f t="shared" si="6"/>
        <v>110322</v>
      </c>
      <c r="H100" s="30">
        <v>40000</v>
      </c>
      <c r="I100" s="4">
        <f t="shared" si="22"/>
        <v>2356762</v>
      </c>
      <c r="J100" s="30">
        <v>0</v>
      </c>
      <c r="K100" s="4">
        <f t="shared" si="23"/>
        <v>2356762</v>
      </c>
      <c r="L100" s="4">
        <f t="shared" si="7"/>
        <v>2356762</v>
      </c>
      <c r="M100" s="25">
        <v>1</v>
      </c>
      <c r="N100" s="30">
        <v>3</v>
      </c>
      <c r="O100" s="3">
        <f t="shared" si="8"/>
        <v>4</v>
      </c>
      <c r="P100" s="35">
        <v>45492</v>
      </c>
      <c r="Q100" s="46">
        <f t="shared" si="9"/>
        <v>2024</v>
      </c>
      <c r="R100" s="4" t="str">
        <f t="shared" si="10"/>
        <v>July</v>
      </c>
      <c r="S100" s="4">
        <f t="shared" si="11"/>
        <v>19</v>
      </c>
      <c r="T100" s="38">
        <v>45856</v>
      </c>
      <c r="U100" s="7">
        <f t="shared" si="12"/>
        <v>2025</v>
      </c>
      <c r="V100" s="4" t="str">
        <f t="shared" si="13"/>
        <v>July</v>
      </c>
      <c r="W100" s="4">
        <f t="shared" si="14"/>
        <v>15</v>
      </c>
      <c r="X100" s="41">
        <f t="shared" si="24"/>
        <v>2.5265285497726126E-4</v>
      </c>
      <c r="Y100" s="41">
        <f t="shared" si="25"/>
        <v>9.3023255813953494E-4</v>
      </c>
      <c r="Z100" s="44">
        <f t="shared" si="26"/>
        <v>5.8241118229470008E-4</v>
      </c>
      <c r="AA100" s="10">
        <f t="shared" si="15"/>
        <v>3</v>
      </c>
      <c r="AB100" s="45" t="str">
        <f t="shared" si="27"/>
        <v>Hares</v>
      </c>
    </row>
    <row r="101" spans="3:28">
      <c r="C101" s="25" t="s">
        <v>135</v>
      </c>
      <c r="D101" s="55" t="s">
        <v>26</v>
      </c>
      <c r="E101" s="25" t="s">
        <v>27</v>
      </c>
      <c r="F101" s="30">
        <v>1791035</v>
      </c>
      <c r="G101" s="4">
        <f t="shared" si="6"/>
        <v>89551.75</v>
      </c>
      <c r="H101" s="30">
        <v>30000</v>
      </c>
      <c r="I101" s="4">
        <f t="shared" si="22"/>
        <v>1910586.75</v>
      </c>
      <c r="J101" s="30">
        <v>0</v>
      </c>
      <c r="K101" s="4">
        <f t="shared" si="23"/>
        <v>1910586.75</v>
      </c>
      <c r="L101" s="4">
        <f t="shared" si="7"/>
        <v>1910586.75</v>
      </c>
      <c r="M101" s="25">
        <v>1</v>
      </c>
      <c r="N101" s="30">
        <v>2</v>
      </c>
      <c r="O101" s="3">
        <f t="shared" si="8"/>
        <v>3</v>
      </c>
      <c r="P101" s="35">
        <v>45495</v>
      </c>
      <c r="Q101" s="46">
        <f t="shared" si="9"/>
        <v>2024</v>
      </c>
      <c r="R101" s="4" t="str">
        <f t="shared" si="10"/>
        <v>July</v>
      </c>
      <c r="S101" s="4">
        <f t="shared" si="11"/>
        <v>22</v>
      </c>
      <c r="T101" s="38">
        <v>45859</v>
      </c>
      <c r="U101" s="7">
        <f t="shared" si="12"/>
        <v>2025</v>
      </c>
      <c r="V101" s="4" t="str">
        <f t="shared" si="13"/>
        <v>July</v>
      </c>
      <c r="W101" s="4">
        <f t="shared" si="14"/>
        <v>18</v>
      </c>
      <c r="X101" s="41">
        <f t="shared" si="24"/>
        <v>2.5265285497726126E-4</v>
      </c>
      <c r="Y101" s="41">
        <f t="shared" si="25"/>
        <v>6.2015503875968996E-4</v>
      </c>
      <c r="Z101" s="44">
        <f t="shared" si="26"/>
        <v>4.3680838672102506E-4</v>
      </c>
      <c r="AA101" s="10">
        <f t="shared" si="15"/>
        <v>2</v>
      </c>
      <c r="AB101" s="45" t="str">
        <f t="shared" si="27"/>
        <v>Hares</v>
      </c>
    </row>
    <row r="102" spans="3:28">
      <c r="C102" s="25" t="s">
        <v>136</v>
      </c>
      <c r="D102" s="55" t="s">
        <v>26</v>
      </c>
      <c r="E102" s="25" t="s">
        <v>27</v>
      </c>
      <c r="F102" s="30">
        <v>908890</v>
      </c>
      <c r="G102" s="4">
        <f t="shared" si="6"/>
        <v>45444.5</v>
      </c>
      <c r="H102" s="30">
        <v>10000</v>
      </c>
      <c r="I102" s="4">
        <f t="shared" si="22"/>
        <v>964334.5</v>
      </c>
      <c r="J102" s="30">
        <v>0</v>
      </c>
      <c r="K102" s="4">
        <f t="shared" si="23"/>
        <v>964334.5</v>
      </c>
      <c r="L102" s="4">
        <f t="shared" si="7"/>
        <v>964334.5</v>
      </c>
      <c r="M102" s="25">
        <v>1</v>
      </c>
      <c r="N102" s="30">
        <v>0</v>
      </c>
      <c r="O102" s="3">
        <f t="shared" si="8"/>
        <v>1</v>
      </c>
      <c r="P102" s="35">
        <v>45495</v>
      </c>
      <c r="Q102" s="46">
        <f t="shared" si="9"/>
        <v>2024</v>
      </c>
      <c r="R102" s="4" t="str">
        <f t="shared" si="10"/>
        <v>July</v>
      </c>
      <c r="S102" s="4">
        <f t="shared" si="11"/>
        <v>22</v>
      </c>
      <c r="T102" s="38">
        <v>45859</v>
      </c>
      <c r="U102" s="7">
        <f t="shared" si="12"/>
        <v>2025</v>
      </c>
      <c r="V102" s="4" t="str">
        <f t="shared" si="13"/>
        <v>July</v>
      </c>
      <c r="W102" s="4">
        <f t="shared" si="14"/>
        <v>21</v>
      </c>
      <c r="X102" s="41">
        <f t="shared" si="24"/>
        <v>2.5265285497726126E-4</v>
      </c>
      <c r="Y102" s="41">
        <f t="shared" si="25"/>
        <v>0</v>
      </c>
      <c r="Z102" s="44">
        <f t="shared" si="26"/>
        <v>1.4560279557367502E-4</v>
      </c>
      <c r="AA102" s="10">
        <f t="shared" si="15"/>
        <v>0</v>
      </c>
      <c r="AB102" s="45" t="str">
        <f t="shared" si="27"/>
        <v>Hares</v>
      </c>
    </row>
    <row r="103" spans="3:28">
      <c r="C103" s="25" t="s">
        <v>137</v>
      </c>
      <c r="D103" s="55" t="s">
        <v>26</v>
      </c>
      <c r="E103" s="25" t="s">
        <v>27</v>
      </c>
      <c r="F103" s="30">
        <v>443102</v>
      </c>
      <c r="G103" s="4">
        <f t="shared" si="6"/>
        <v>22155.100000000002</v>
      </c>
      <c r="H103" s="30">
        <v>10000</v>
      </c>
      <c r="I103" s="4">
        <f t="shared" si="22"/>
        <v>475257.1</v>
      </c>
      <c r="J103" s="30">
        <v>0</v>
      </c>
      <c r="K103" s="4">
        <f t="shared" si="23"/>
        <v>475257.1</v>
      </c>
      <c r="L103" s="4">
        <f t="shared" si="7"/>
        <v>475257.1</v>
      </c>
      <c r="M103" s="25">
        <v>1</v>
      </c>
      <c r="N103" s="30">
        <v>0</v>
      </c>
      <c r="O103" s="3">
        <f t="shared" si="8"/>
        <v>1</v>
      </c>
      <c r="P103" s="35">
        <v>45496</v>
      </c>
      <c r="Q103" s="46">
        <f t="shared" si="9"/>
        <v>2024</v>
      </c>
      <c r="R103" s="4" t="str">
        <f t="shared" si="10"/>
        <v>July</v>
      </c>
      <c r="S103" s="4">
        <f t="shared" si="11"/>
        <v>23</v>
      </c>
      <c r="T103" s="38">
        <v>45860</v>
      </c>
      <c r="U103" s="7">
        <f t="shared" si="12"/>
        <v>2025</v>
      </c>
      <c r="V103" s="4" t="str">
        <f t="shared" si="13"/>
        <v>July</v>
      </c>
      <c r="W103" s="4">
        <f t="shared" si="14"/>
        <v>21</v>
      </c>
      <c r="X103" s="41">
        <f t="shared" si="24"/>
        <v>2.5265285497726126E-4</v>
      </c>
      <c r="Y103" s="41">
        <f t="shared" si="25"/>
        <v>0</v>
      </c>
      <c r="Z103" s="44">
        <f t="shared" si="26"/>
        <v>1.4560279557367502E-4</v>
      </c>
      <c r="AA103" s="10">
        <f t="shared" si="15"/>
        <v>0</v>
      </c>
      <c r="AB103" s="45" t="str">
        <f t="shared" si="27"/>
        <v>Hares</v>
      </c>
    </row>
    <row r="104" spans="3:28">
      <c r="C104" s="25" t="s">
        <v>138</v>
      </c>
      <c r="D104" s="55" t="s">
        <v>26</v>
      </c>
      <c r="E104" s="25" t="s">
        <v>27</v>
      </c>
      <c r="F104" s="30">
        <v>1293912</v>
      </c>
      <c r="G104" s="4">
        <f t="shared" si="6"/>
        <v>64695.600000000006</v>
      </c>
      <c r="H104" s="30">
        <v>20000</v>
      </c>
      <c r="I104" s="4">
        <f t="shared" si="22"/>
        <v>1378607.6</v>
      </c>
      <c r="J104" s="30">
        <v>0</v>
      </c>
      <c r="K104" s="4">
        <f t="shared" si="23"/>
        <v>1378607.6</v>
      </c>
      <c r="L104" s="4">
        <f t="shared" si="7"/>
        <v>1378607.6</v>
      </c>
      <c r="M104" s="25">
        <v>1</v>
      </c>
      <c r="N104" s="30">
        <v>1</v>
      </c>
      <c r="O104" s="3">
        <f t="shared" si="8"/>
        <v>2</v>
      </c>
      <c r="P104" s="35">
        <v>45497</v>
      </c>
      <c r="Q104" s="46">
        <f t="shared" si="9"/>
        <v>2024</v>
      </c>
      <c r="R104" s="4" t="str">
        <f t="shared" si="10"/>
        <v>July</v>
      </c>
      <c r="S104" s="4">
        <f t="shared" si="11"/>
        <v>24</v>
      </c>
      <c r="T104" s="38">
        <v>45861</v>
      </c>
      <c r="U104" s="7">
        <f t="shared" si="12"/>
        <v>2025</v>
      </c>
      <c r="V104" s="4" t="str">
        <f t="shared" si="13"/>
        <v>July</v>
      </c>
      <c r="W104" s="4">
        <f t="shared" si="14"/>
        <v>22</v>
      </c>
      <c r="X104" s="41">
        <f t="shared" si="24"/>
        <v>2.5265285497726126E-4</v>
      </c>
      <c r="Y104" s="41">
        <f t="shared" si="25"/>
        <v>3.1007751937984498E-4</v>
      </c>
      <c r="Z104" s="44">
        <f t="shared" si="26"/>
        <v>2.9120559114735004E-4</v>
      </c>
      <c r="AA104" s="10">
        <f t="shared" si="15"/>
        <v>1</v>
      </c>
      <c r="AB104" s="45" t="str">
        <f t="shared" si="27"/>
        <v>Hares</v>
      </c>
    </row>
    <row r="105" spans="3:28">
      <c r="C105" s="25" t="s">
        <v>139</v>
      </c>
      <c r="D105" s="55" t="s">
        <v>26</v>
      </c>
      <c r="E105" s="25" t="s">
        <v>29</v>
      </c>
      <c r="F105" s="30">
        <v>1424655</v>
      </c>
      <c r="G105" s="4">
        <f t="shared" si="6"/>
        <v>71232.75</v>
      </c>
      <c r="H105" s="30">
        <v>30000</v>
      </c>
      <c r="I105" s="4">
        <f t="shared" si="22"/>
        <v>1525887.75</v>
      </c>
      <c r="J105" s="30">
        <v>0</v>
      </c>
      <c r="K105" s="4">
        <f t="shared" si="23"/>
        <v>1525887.75</v>
      </c>
      <c r="L105" s="4">
        <f t="shared" si="7"/>
        <v>508629.25</v>
      </c>
      <c r="M105" s="25">
        <v>3</v>
      </c>
      <c r="N105" s="30">
        <v>1</v>
      </c>
      <c r="O105" s="3">
        <f t="shared" si="8"/>
        <v>4</v>
      </c>
      <c r="P105" s="35">
        <v>45502</v>
      </c>
      <c r="Q105" s="46">
        <f t="shared" si="9"/>
        <v>2024</v>
      </c>
      <c r="R105" s="4" t="str">
        <f t="shared" si="10"/>
        <v>July</v>
      </c>
      <c r="S105" s="4">
        <f t="shared" si="11"/>
        <v>29</v>
      </c>
      <c r="T105" s="38">
        <v>45866</v>
      </c>
      <c r="U105" s="7">
        <f t="shared" si="12"/>
        <v>2025</v>
      </c>
      <c r="V105" s="4" t="str">
        <f t="shared" si="13"/>
        <v>July</v>
      </c>
      <c r="W105" s="4">
        <f t="shared" si="14"/>
        <v>23</v>
      </c>
      <c r="X105" s="41">
        <f t="shared" si="24"/>
        <v>7.5795856493178374E-4</v>
      </c>
      <c r="Y105" s="41">
        <f t="shared" si="25"/>
        <v>3.1007751937984498E-4</v>
      </c>
      <c r="Z105" s="44">
        <f t="shared" si="26"/>
        <v>5.8241118229470008E-4</v>
      </c>
      <c r="AA105" s="10">
        <f t="shared" si="15"/>
        <v>0.33333333333333331</v>
      </c>
      <c r="AB105" s="45" t="str">
        <f t="shared" si="27"/>
        <v>Hares</v>
      </c>
    </row>
    <row r="106" spans="3:28">
      <c r="C106" s="25" t="s">
        <v>140</v>
      </c>
      <c r="D106" s="55" t="s">
        <v>26</v>
      </c>
      <c r="E106" s="25" t="s">
        <v>29</v>
      </c>
      <c r="F106" s="30">
        <v>2879583</v>
      </c>
      <c r="G106" s="4">
        <f t="shared" si="6"/>
        <v>143979.15</v>
      </c>
      <c r="H106" s="30">
        <v>70000</v>
      </c>
      <c r="I106" s="4">
        <f t="shared" si="22"/>
        <v>3093562.15</v>
      </c>
      <c r="J106" s="30">
        <v>0</v>
      </c>
      <c r="K106" s="4">
        <f t="shared" si="23"/>
        <v>3093562.15</v>
      </c>
      <c r="L106" s="4">
        <f t="shared" si="7"/>
        <v>441937.45</v>
      </c>
      <c r="M106" s="25">
        <v>7</v>
      </c>
      <c r="N106" s="30">
        <v>1</v>
      </c>
      <c r="O106" s="3">
        <f t="shared" si="8"/>
        <v>8</v>
      </c>
      <c r="P106" s="35">
        <v>45502</v>
      </c>
      <c r="Q106" s="46">
        <f t="shared" si="9"/>
        <v>2024</v>
      </c>
      <c r="R106" s="4" t="str">
        <f t="shared" si="10"/>
        <v>July</v>
      </c>
      <c r="S106" s="4">
        <f t="shared" si="11"/>
        <v>29</v>
      </c>
      <c r="T106" s="38">
        <v>45866</v>
      </c>
      <c r="U106" s="7">
        <f t="shared" si="12"/>
        <v>2025</v>
      </c>
      <c r="V106" s="4" t="str">
        <f t="shared" si="13"/>
        <v>July</v>
      </c>
      <c r="W106" s="4">
        <f t="shared" si="14"/>
        <v>28</v>
      </c>
      <c r="X106" s="41">
        <f t="shared" si="24"/>
        <v>1.7685699848408287E-3</v>
      </c>
      <c r="Y106" s="41">
        <f t="shared" si="25"/>
        <v>3.1007751937984498E-4</v>
      </c>
      <c r="Z106" s="44">
        <f t="shared" si="26"/>
        <v>1.1648223645894002E-3</v>
      </c>
      <c r="AA106" s="10">
        <f t="shared" si="15"/>
        <v>0.14285714285714285</v>
      </c>
      <c r="AB106" s="45" t="str">
        <f t="shared" si="27"/>
        <v>Hares</v>
      </c>
    </row>
    <row r="107" spans="3:28">
      <c r="C107" s="25" t="s">
        <v>141</v>
      </c>
      <c r="D107" s="55" t="s">
        <v>26</v>
      </c>
      <c r="E107" s="25" t="s">
        <v>29</v>
      </c>
      <c r="F107" s="30">
        <v>449234</v>
      </c>
      <c r="G107" s="4">
        <f t="shared" si="6"/>
        <v>22461.7</v>
      </c>
      <c r="H107" s="30">
        <v>10000</v>
      </c>
      <c r="I107" s="4">
        <f t="shared" si="22"/>
        <v>481695.7</v>
      </c>
      <c r="J107" s="30">
        <v>0</v>
      </c>
      <c r="K107" s="4">
        <f t="shared" si="23"/>
        <v>481695.7</v>
      </c>
      <c r="L107" s="4">
        <f t="shared" si="7"/>
        <v>481695.7</v>
      </c>
      <c r="M107" s="25">
        <v>1</v>
      </c>
      <c r="N107" s="30">
        <v>1</v>
      </c>
      <c r="O107" s="3">
        <f t="shared" si="8"/>
        <v>2</v>
      </c>
      <c r="P107" s="35">
        <v>45502</v>
      </c>
      <c r="Q107" s="46">
        <f t="shared" si="9"/>
        <v>2024</v>
      </c>
      <c r="R107" s="4" t="str">
        <f t="shared" si="10"/>
        <v>July</v>
      </c>
      <c r="S107" s="4">
        <f t="shared" si="11"/>
        <v>29</v>
      </c>
      <c r="T107" s="38">
        <v>45866</v>
      </c>
      <c r="U107" s="7">
        <f t="shared" si="12"/>
        <v>2025</v>
      </c>
      <c r="V107" s="4" t="str">
        <f t="shared" si="13"/>
        <v>July</v>
      </c>
      <c r="W107" s="4">
        <f t="shared" si="14"/>
        <v>28</v>
      </c>
      <c r="X107" s="41">
        <f t="shared" si="24"/>
        <v>2.5265285497726126E-4</v>
      </c>
      <c r="Y107" s="41">
        <f t="shared" si="25"/>
        <v>3.1007751937984498E-4</v>
      </c>
      <c r="Z107" s="44">
        <f t="shared" si="26"/>
        <v>2.9120559114735004E-4</v>
      </c>
      <c r="AA107" s="10">
        <f t="shared" si="15"/>
        <v>1</v>
      </c>
      <c r="AB107" s="45" t="str">
        <f t="shared" si="27"/>
        <v>Hares</v>
      </c>
    </row>
    <row r="108" spans="3:28">
      <c r="C108" s="25" t="s">
        <v>42</v>
      </c>
      <c r="D108" s="55" t="s">
        <v>26</v>
      </c>
      <c r="E108" s="25" t="s">
        <v>35</v>
      </c>
      <c r="F108" s="30">
        <v>22542225</v>
      </c>
      <c r="G108" s="4">
        <f t="shared" si="6"/>
        <v>1127111.25</v>
      </c>
      <c r="H108" s="30">
        <v>165000</v>
      </c>
      <c r="I108" s="4">
        <f t="shared" si="22"/>
        <v>23834336.25</v>
      </c>
      <c r="J108" s="30">
        <v>0</v>
      </c>
      <c r="K108" s="4">
        <f t="shared" si="23"/>
        <v>23834336.25</v>
      </c>
      <c r="L108" s="4">
        <f t="shared" si="7"/>
        <v>1191716.8125</v>
      </c>
      <c r="M108" s="25">
        <v>20</v>
      </c>
      <c r="N108" s="30">
        <v>13</v>
      </c>
      <c r="O108" s="3">
        <f t="shared" si="8"/>
        <v>33</v>
      </c>
      <c r="P108" s="35">
        <v>45495</v>
      </c>
      <c r="Q108" s="46">
        <f t="shared" si="9"/>
        <v>2024</v>
      </c>
      <c r="R108" s="4" t="str">
        <f t="shared" si="10"/>
        <v>July</v>
      </c>
      <c r="S108" s="4">
        <f t="shared" si="11"/>
        <v>22</v>
      </c>
      <c r="T108" s="38">
        <v>45859</v>
      </c>
      <c r="U108" s="7">
        <f t="shared" si="12"/>
        <v>2025</v>
      </c>
      <c r="V108" s="4" t="str">
        <f t="shared" si="13"/>
        <v>July</v>
      </c>
      <c r="W108" s="4">
        <f t="shared" si="14"/>
        <v>28</v>
      </c>
      <c r="X108" s="41">
        <f t="shared" si="24"/>
        <v>5.053057099545225E-3</v>
      </c>
      <c r="Y108" s="41">
        <f t="shared" si="25"/>
        <v>4.0310077519379846E-3</v>
      </c>
      <c r="Z108" s="44">
        <f t="shared" si="26"/>
        <v>4.8048922539312752E-3</v>
      </c>
      <c r="AA108" s="10">
        <f t="shared" si="15"/>
        <v>0.65</v>
      </c>
      <c r="AB108" s="45" t="str">
        <f t="shared" si="27"/>
        <v>Hares</v>
      </c>
    </row>
    <row r="109" spans="3:28">
      <c r="C109" s="25" t="s">
        <v>142</v>
      </c>
      <c r="D109" s="55" t="s">
        <v>26</v>
      </c>
      <c r="E109" s="25" t="s">
        <v>29</v>
      </c>
      <c r="F109" s="30">
        <v>23221393</v>
      </c>
      <c r="G109" s="4">
        <f t="shared" si="6"/>
        <v>1161069.6500000001</v>
      </c>
      <c r="H109" s="30">
        <v>570000</v>
      </c>
      <c r="I109" s="4">
        <f t="shared" si="22"/>
        <v>24952462.649999999</v>
      </c>
      <c r="J109" s="30">
        <v>0</v>
      </c>
      <c r="K109" s="4">
        <f t="shared" si="23"/>
        <v>24952462.649999999</v>
      </c>
      <c r="L109" s="4">
        <f t="shared" si="7"/>
        <v>1084889.6804347825</v>
      </c>
      <c r="M109" s="25">
        <v>23</v>
      </c>
      <c r="N109" s="30">
        <v>34</v>
      </c>
      <c r="O109" s="3">
        <f t="shared" si="8"/>
        <v>57</v>
      </c>
      <c r="P109" s="35">
        <v>45461</v>
      </c>
      <c r="Q109" s="46">
        <f t="shared" si="9"/>
        <v>2024</v>
      </c>
      <c r="R109" s="4" t="str">
        <f t="shared" si="10"/>
        <v>June</v>
      </c>
      <c r="S109" s="4">
        <f t="shared" si="11"/>
        <v>18</v>
      </c>
      <c r="T109" s="38">
        <v>45825</v>
      </c>
      <c r="U109" s="7">
        <f t="shared" si="12"/>
        <v>2025</v>
      </c>
      <c r="V109" s="4" t="str">
        <f t="shared" si="13"/>
        <v>June</v>
      </c>
      <c r="W109" s="4">
        <f t="shared" si="14"/>
        <v>21</v>
      </c>
      <c r="X109" s="41">
        <f t="shared" si="24"/>
        <v>5.8110156644770082E-3</v>
      </c>
      <c r="Y109" s="41">
        <f t="shared" si="25"/>
        <v>1.0542635658914728E-2</v>
      </c>
      <c r="Z109" s="44">
        <f t="shared" si="26"/>
        <v>8.2993593476994761E-3</v>
      </c>
      <c r="AA109" s="10">
        <f t="shared" si="15"/>
        <v>1.4782608695652173</v>
      </c>
      <c r="AB109" s="45" t="str">
        <f t="shared" si="27"/>
        <v>Hares</v>
      </c>
    </row>
    <row r="110" spans="3:28">
      <c r="C110" s="25" t="s">
        <v>41</v>
      </c>
      <c r="D110" s="55" t="s">
        <v>26</v>
      </c>
      <c r="E110" s="25" t="s">
        <v>29</v>
      </c>
      <c r="F110" s="30">
        <v>2472532</v>
      </c>
      <c r="G110" s="4">
        <f t="shared" si="6"/>
        <v>123626.6</v>
      </c>
      <c r="H110" s="30">
        <v>70000</v>
      </c>
      <c r="I110" s="4">
        <f t="shared" si="22"/>
        <v>2666158.6</v>
      </c>
      <c r="J110" s="30">
        <v>0</v>
      </c>
      <c r="K110" s="4">
        <f t="shared" si="23"/>
        <v>2666158.6</v>
      </c>
      <c r="L110" s="4">
        <f t="shared" si="7"/>
        <v>1333079.3</v>
      </c>
      <c r="M110" s="25">
        <v>2</v>
      </c>
      <c r="N110" s="30">
        <v>5</v>
      </c>
      <c r="O110" s="3">
        <f t="shared" si="8"/>
        <v>7</v>
      </c>
      <c r="P110" s="35">
        <v>45464</v>
      </c>
      <c r="Q110" s="46">
        <f t="shared" si="9"/>
        <v>2024</v>
      </c>
      <c r="R110" s="4" t="str">
        <f t="shared" si="10"/>
        <v>June</v>
      </c>
      <c r="S110" s="4">
        <f t="shared" si="11"/>
        <v>21</v>
      </c>
      <c r="T110" s="38">
        <v>45828</v>
      </c>
      <c r="U110" s="7">
        <f t="shared" si="12"/>
        <v>2025</v>
      </c>
      <c r="V110" s="4" t="str">
        <f t="shared" si="13"/>
        <v>June</v>
      </c>
      <c r="W110" s="4">
        <f t="shared" si="14"/>
        <v>17</v>
      </c>
      <c r="X110" s="41">
        <f t="shared" si="24"/>
        <v>5.0530570995452253E-4</v>
      </c>
      <c r="Y110" s="41">
        <f t="shared" si="25"/>
        <v>1.5503875968992248E-3</v>
      </c>
      <c r="Z110" s="44">
        <f t="shared" si="26"/>
        <v>1.0192195690157252E-3</v>
      </c>
      <c r="AA110" s="10">
        <f t="shared" si="15"/>
        <v>2.5</v>
      </c>
      <c r="AB110" s="45" t="str">
        <f t="shared" si="27"/>
        <v>Hares</v>
      </c>
    </row>
    <row r="111" spans="3:28">
      <c r="C111" s="25" t="s">
        <v>39</v>
      </c>
      <c r="D111" s="55" t="s">
        <v>26</v>
      </c>
      <c r="E111" s="25" t="s">
        <v>29</v>
      </c>
      <c r="F111" s="30">
        <v>6794224</v>
      </c>
      <c r="G111" s="4">
        <f t="shared" si="6"/>
        <v>339711.2</v>
      </c>
      <c r="H111" s="30">
        <v>70000</v>
      </c>
      <c r="I111" s="4">
        <f t="shared" si="22"/>
        <v>7203935.2000000002</v>
      </c>
      <c r="J111" s="30">
        <v>0</v>
      </c>
      <c r="K111" s="4">
        <f t="shared" si="23"/>
        <v>7203935.2000000002</v>
      </c>
      <c r="L111" s="4">
        <f t="shared" si="7"/>
        <v>1200655.8666666667</v>
      </c>
      <c r="M111" s="25">
        <v>6</v>
      </c>
      <c r="N111" s="30">
        <v>8</v>
      </c>
      <c r="O111" s="3">
        <f t="shared" si="8"/>
        <v>14</v>
      </c>
      <c r="P111" s="35">
        <v>45459</v>
      </c>
      <c r="Q111" s="46">
        <f t="shared" si="9"/>
        <v>2024</v>
      </c>
      <c r="R111" s="4" t="str">
        <f t="shared" si="10"/>
        <v>June</v>
      </c>
      <c r="S111" s="4">
        <f t="shared" si="11"/>
        <v>16</v>
      </c>
      <c r="T111" s="38">
        <v>45823</v>
      </c>
      <c r="U111" s="7">
        <f t="shared" si="12"/>
        <v>2025</v>
      </c>
      <c r="V111" s="4" t="str">
        <f t="shared" si="13"/>
        <v>June</v>
      </c>
      <c r="W111" s="4">
        <f t="shared" si="14"/>
        <v>20</v>
      </c>
      <c r="X111" s="41">
        <f t="shared" si="24"/>
        <v>1.5159171298635675E-3</v>
      </c>
      <c r="Y111" s="41">
        <f t="shared" si="25"/>
        <v>2.4806201550387598E-3</v>
      </c>
      <c r="Z111" s="44">
        <f t="shared" si="26"/>
        <v>2.0384391380314504E-3</v>
      </c>
      <c r="AA111" s="10">
        <f t="shared" si="15"/>
        <v>1.3333333333333333</v>
      </c>
      <c r="AB111" s="45" t="str">
        <f t="shared" si="27"/>
        <v>Hares</v>
      </c>
    </row>
    <row r="112" spans="3:28">
      <c r="C112" s="25" t="s">
        <v>36</v>
      </c>
      <c r="D112" s="55" t="s">
        <v>26</v>
      </c>
      <c r="E112" s="25" t="s">
        <v>35</v>
      </c>
      <c r="F112" s="30">
        <v>4936395</v>
      </c>
      <c r="G112" s="4">
        <f t="shared" si="6"/>
        <v>246819.75</v>
      </c>
      <c r="H112" s="30">
        <v>0</v>
      </c>
      <c r="I112" s="4">
        <f t="shared" si="22"/>
        <v>5183214.75</v>
      </c>
      <c r="J112" s="30">
        <f>180000+15000+2700+7500000+810000+145800</f>
        <v>8653500</v>
      </c>
      <c r="K112" s="4">
        <f t="shared" si="23"/>
        <v>13836714.75</v>
      </c>
      <c r="L112" s="4">
        <f t="shared" si="7"/>
        <v>432397.3359375</v>
      </c>
      <c r="M112" s="25">
        <v>32</v>
      </c>
      <c r="N112" s="30">
        <f>55-32</f>
        <v>23</v>
      </c>
      <c r="O112" s="3">
        <f t="shared" si="8"/>
        <v>55</v>
      </c>
      <c r="P112" s="35">
        <v>45439</v>
      </c>
      <c r="Q112" s="46">
        <f t="shared" si="9"/>
        <v>2024</v>
      </c>
      <c r="R112" s="4" t="str">
        <f t="shared" si="10"/>
        <v>May</v>
      </c>
      <c r="S112" s="4">
        <f t="shared" si="11"/>
        <v>27</v>
      </c>
      <c r="T112" s="38">
        <v>45803</v>
      </c>
      <c r="U112" s="7">
        <f t="shared" si="12"/>
        <v>2025</v>
      </c>
      <c r="V112" s="4" t="str">
        <f t="shared" si="13"/>
        <v>May</v>
      </c>
      <c r="W112" s="4">
        <f t="shared" si="14"/>
        <v>15</v>
      </c>
      <c r="X112" s="41">
        <f t="shared" si="24"/>
        <v>8.0848913592723604E-3</v>
      </c>
      <c r="Y112" s="41">
        <f t="shared" si="25"/>
        <v>7.1317829457364342E-3</v>
      </c>
      <c r="Z112" s="44">
        <f t="shared" si="26"/>
        <v>8.0081537565521253E-3</v>
      </c>
      <c r="AA112" s="10">
        <f t="shared" si="15"/>
        <v>0.71875</v>
      </c>
      <c r="AB112" s="45" t="str">
        <f t="shared" si="27"/>
        <v>Tigers</v>
      </c>
    </row>
    <row r="113" spans="1:28">
      <c r="A113" s="24" t="s">
        <v>82</v>
      </c>
      <c r="B113" s="24" t="s">
        <v>83</v>
      </c>
      <c r="C113" s="25" t="s">
        <v>143</v>
      </c>
      <c r="D113" s="55" t="s">
        <v>26</v>
      </c>
      <c r="E113" s="25" t="s">
        <v>27</v>
      </c>
      <c r="F113" s="30">
        <v>81852963</v>
      </c>
      <c r="G113" s="4">
        <f t="shared" si="6"/>
        <v>4092648.1500000004</v>
      </c>
      <c r="H113" s="30">
        <v>2210000</v>
      </c>
      <c r="I113" s="4">
        <f t="shared" si="22"/>
        <v>88155611.150000006</v>
      </c>
      <c r="J113" s="30"/>
      <c r="K113" s="4">
        <f t="shared" si="23"/>
        <v>88155611.150000006</v>
      </c>
      <c r="L113" s="4">
        <f t="shared" si="7"/>
        <v>199447.08404977378</v>
      </c>
      <c r="M113" s="25">
        <v>442</v>
      </c>
      <c r="N113" s="30">
        <v>0</v>
      </c>
      <c r="O113" s="3">
        <f t="shared" si="8"/>
        <v>442</v>
      </c>
      <c r="P113" s="35">
        <v>45510</v>
      </c>
      <c r="Q113" s="46">
        <f t="shared" si="9"/>
        <v>2024</v>
      </c>
      <c r="R113" s="4" t="str">
        <f t="shared" si="10"/>
        <v>August</v>
      </c>
      <c r="S113" s="4">
        <f t="shared" si="11"/>
        <v>6</v>
      </c>
      <c r="T113" s="38">
        <v>45874</v>
      </c>
      <c r="U113" s="7">
        <f t="shared" si="12"/>
        <v>2025</v>
      </c>
      <c r="V113" s="4" t="str">
        <f t="shared" si="13"/>
        <v>August</v>
      </c>
      <c r="W113" s="4">
        <f t="shared" si="14"/>
        <v>26</v>
      </c>
      <c r="X113" s="41">
        <f t="shared" si="24"/>
        <v>0.11167256189994947</v>
      </c>
      <c r="Y113" s="41">
        <f t="shared" si="25"/>
        <v>0</v>
      </c>
      <c r="Z113" s="44">
        <f t="shared" si="26"/>
        <v>6.4356435643564358E-2</v>
      </c>
      <c r="AA113" s="10">
        <f t="shared" si="15"/>
        <v>0</v>
      </c>
      <c r="AB113" s="45" t="str">
        <f t="shared" si="27"/>
        <v>Elephants</v>
      </c>
    </row>
    <row r="114" spans="1:28">
      <c r="A114" s="18">
        <v>29</v>
      </c>
      <c r="B114" t="s">
        <v>87</v>
      </c>
      <c r="C114" s="25" t="s">
        <v>144</v>
      </c>
      <c r="D114" s="55" t="s">
        <v>26</v>
      </c>
      <c r="E114" s="25" t="s">
        <v>27</v>
      </c>
      <c r="F114" s="30">
        <v>7878987</v>
      </c>
      <c r="G114" s="4">
        <f t="shared" si="6"/>
        <v>393949.35000000003</v>
      </c>
      <c r="H114" s="30">
        <v>150000</v>
      </c>
      <c r="I114" s="4">
        <f t="shared" si="22"/>
        <v>8422936.3499999996</v>
      </c>
      <c r="J114" s="30"/>
      <c r="K114" s="4">
        <f t="shared" si="23"/>
        <v>8422936.3499999996</v>
      </c>
      <c r="L114" s="4">
        <f t="shared" si="7"/>
        <v>935881.81666666665</v>
      </c>
      <c r="M114" s="25">
        <v>9</v>
      </c>
      <c r="N114" s="30">
        <v>6</v>
      </c>
      <c r="O114" s="3">
        <f t="shared" si="8"/>
        <v>15</v>
      </c>
      <c r="P114" s="35">
        <v>45512</v>
      </c>
      <c r="Q114" s="46">
        <f t="shared" si="9"/>
        <v>2024</v>
      </c>
      <c r="R114" s="4" t="str">
        <f t="shared" si="10"/>
        <v>August</v>
      </c>
      <c r="S114" s="4">
        <f t="shared" si="11"/>
        <v>8</v>
      </c>
      <c r="T114" s="38">
        <v>45876</v>
      </c>
      <c r="U114" s="7">
        <f t="shared" si="12"/>
        <v>2025</v>
      </c>
      <c r="V114" s="4" t="str">
        <f t="shared" si="13"/>
        <v>August</v>
      </c>
      <c r="W114" s="4">
        <f t="shared" si="14"/>
        <v>5</v>
      </c>
      <c r="X114" s="41">
        <f t="shared" si="24"/>
        <v>2.2738756947953513E-3</v>
      </c>
      <c r="Y114" s="41">
        <f t="shared" si="25"/>
        <v>1.8604651162790699E-3</v>
      </c>
      <c r="Z114" s="44">
        <f t="shared" si="26"/>
        <v>2.1840419336051253E-3</v>
      </c>
      <c r="AA114" s="10">
        <f t="shared" si="15"/>
        <v>0.66666666666666663</v>
      </c>
      <c r="AB114" s="45" t="str">
        <f t="shared" si="27"/>
        <v>Hares</v>
      </c>
    </row>
    <row r="115" spans="1:28">
      <c r="A115" s="18">
        <v>99</v>
      </c>
      <c r="B115" t="s">
        <v>86</v>
      </c>
      <c r="C115" s="25" t="s">
        <v>145</v>
      </c>
      <c r="D115" s="55" t="s">
        <v>26</v>
      </c>
      <c r="E115" s="25" t="s">
        <v>27</v>
      </c>
      <c r="F115" s="30">
        <v>2387323</v>
      </c>
      <c r="G115" s="4">
        <f t="shared" si="6"/>
        <v>119366.15000000001</v>
      </c>
      <c r="H115" s="30">
        <v>20000</v>
      </c>
      <c r="I115" s="4">
        <f t="shared" si="22"/>
        <v>2526689.15</v>
      </c>
      <c r="J115" s="30"/>
      <c r="K115" s="4">
        <f t="shared" si="23"/>
        <v>2526689.15</v>
      </c>
      <c r="L115" s="4">
        <f t="shared" si="7"/>
        <v>2526689.15</v>
      </c>
      <c r="M115" s="25">
        <v>1</v>
      </c>
      <c r="N115" s="30">
        <v>1</v>
      </c>
      <c r="O115" s="3">
        <f t="shared" si="8"/>
        <v>2</v>
      </c>
      <c r="P115" s="35">
        <v>45516</v>
      </c>
      <c r="Q115" s="46">
        <f t="shared" si="9"/>
        <v>2024</v>
      </c>
      <c r="R115" s="4" t="str">
        <f t="shared" si="10"/>
        <v>August</v>
      </c>
      <c r="S115" s="4">
        <f t="shared" si="11"/>
        <v>12</v>
      </c>
      <c r="T115" s="38">
        <v>45880</v>
      </c>
      <c r="U115" s="7">
        <f t="shared" si="12"/>
        <v>2025</v>
      </c>
      <c r="V115" s="4" t="str">
        <f t="shared" si="13"/>
        <v>August</v>
      </c>
      <c r="W115" s="4">
        <f t="shared" si="14"/>
        <v>7</v>
      </c>
      <c r="X115" s="41">
        <f t="shared" si="24"/>
        <v>2.5265285497726126E-4</v>
      </c>
      <c r="Y115" s="41">
        <f t="shared" si="25"/>
        <v>3.1007751937984498E-4</v>
      </c>
      <c r="Z115" s="44">
        <f t="shared" si="26"/>
        <v>2.9120559114735004E-4</v>
      </c>
      <c r="AA115" s="10">
        <f t="shared" si="15"/>
        <v>1</v>
      </c>
      <c r="AB115" s="45" t="str">
        <f t="shared" si="27"/>
        <v>Hares</v>
      </c>
    </row>
    <row r="116" spans="1:28">
      <c r="A116" s="18">
        <v>499</v>
      </c>
      <c r="B116" t="s">
        <v>85</v>
      </c>
      <c r="C116" s="25" t="s">
        <v>146</v>
      </c>
      <c r="D116" s="55" t="s">
        <v>26</v>
      </c>
      <c r="E116" s="25" t="s">
        <v>27</v>
      </c>
      <c r="F116" s="30">
        <v>562108</v>
      </c>
      <c r="G116" s="4">
        <f t="shared" ref="G116:G120" si="28">F116*5%</f>
        <v>28105.4</v>
      </c>
      <c r="H116" s="30">
        <v>10000</v>
      </c>
      <c r="I116" s="4">
        <f t="shared" si="22"/>
        <v>600213.4</v>
      </c>
      <c r="J116" s="30"/>
      <c r="K116" s="4">
        <f t="shared" si="23"/>
        <v>600213.4</v>
      </c>
      <c r="L116" s="4">
        <f t="shared" ref="L116:L120" si="29">K116/M116</f>
        <v>600213.4</v>
      </c>
      <c r="M116" s="25">
        <v>1</v>
      </c>
      <c r="N116" s="30">
        <v>0</v>
      </c>
      <c r="O116" s="3">
        <f t="shared" ref="O116:O120" si="30">M116+N116</f>
        <v>1</v>
      </c>
      <c r="P116" s="35">
        <v>45516</v>
      </c>
      <c r="Q116" s="46">
        <f t="shared" ref="Q116:Q120" si="31">YEAR(P116)</f>
        <v>2024</v>
      </c>
      <c r="R116" s="4" t="str">
        <f t="shared" ref="R116:R120" si="32">TEXT(P116, "mmmm")</f>
        <v>August</v>
      </c>
      <c r="S116" s="4">
        <f t="shared" ref="S116:S120" si="33">DAY(P116)</f>
        <v>12</v>
      </c>
      <c r="T116" s="38">
        <v>45880</v>
      </c>
      <c r="U116" s="7">
        <f t="shared" ref="U116:U120" si="34">YEAR(T116)</f>
        <v>2025</v>
      </c>
      <c r="V116" s="4" t="str">
        <f t="shared" ref="V116:V120" si="35">TEXT(T116, "mmmm")</f>
        <v>August</v>
      </c>
      <c r="W116" s="4">
        <f t="shared" ref="W116:W120" si="36">DAY(T115)</f>
        <v>11</v>
      </c>
      <c r="X116" s="41">
        <f t="shared" si="24"/>
        <v>2.5265285497726126E-4</v>
      </c>
      <c r="Y116" s="41">
        <f t="shared" si="25"/>
        <v>0</v>
      </c>
      <c r="Z116" s="44">
        <f t="shared" si="26"/>
        <v>1.4560279557367502E-4</v>
      </c>
      <c r="AA116" s="10">
        <f t="shared" ref="AA116:AA120" si="37">N116/M116</f>
        <v>0</v>
      </c>
      <c r="AB116" s="45" t="str">
        <f t="shared" si="27"/>
        <v>Hares</v>
      </c>
    </row>
    <row r="117" spans="1:28">
      <c r="A117" s="18">
        <v>1000000</v>
      </c>
      <c r="B117" t="s">
        <v>84</v>
      </c>
      <c r="C117" s="25" t="s">
        <v>147</v>
      </c>
      <c r="D117" s="55" t="s">
        <v>26</v>
      </c>
      <c r="E117" s="25" t="s">
        <v>29</v>
      </c>
      <c r="F117" s="30">
        <v>10810931</v>
      </c>
      <c r="G117" s="4">
        <f t="shared" si="28"/>
        <v>540546.55000000005</v>
      </c>
      <c r="H117" s="30">
        <v>330000</v>
      </c>
      <c r="I117" s="4">
        <f t="shared" si="22"/>
        <v>11681477.550000001</v>
      </c>
      <c r="J117" s="30"/>
      <c r="K117" s="4">
        <f t="shared" si="23"/>
        <v>11681477.550000001</v>
      </c>
      <c r="L117" s="4">
        <f t="shared" si="29"/>
        <v>834391.25357142859</v>
      </c>
      <c r="M117" s="25">
        <v>14</v>
      </c>
      <c r="N117" s="30">
        <v>19</v>
      </c>
      <c r="O117" s="3">
        <f t="shared" si="30"/>
        <v>33</v>
      </c>
      <c r="P117" s="35">
        <v>45519</v>
      </c>
      <c r="Q117" s="46">
        <f t="shared" si="31"/>
        <v>2024</v>
      </c>
      <c r="R117" s="4" t="str">
        <f t="shared" si="32"/>
        <v>August</v>
      </c>
      <c r="S117" s="4">
        <f t="shared" si="33"/>
        <v>15</v>
      </c>
      <c r="T117" s="38">
        <v>45883</v>
      </c>
      <c r="U117" s="7">
        <f t="shared" si="34"/>
        <v>2025</v>
      </c>
      <c r="V117" s="4" t="str">
        <f t="shared" si="35"/>
        <v>August</v>
      </c>
      <c r="W117" s="4">
        <f t="shared" si="36"/>
        <v>11</v>
      </c>
      <c r="X117" s="41">
        <f t="shared" si="24"/>
        <v>3.5371399696816574E-3</v>
      </c>
      <c r="Y117" s="41">
        <f t="shared" si="25"/>
        <v>5.8914728682170538E-3</v>
      </c>
      <c r="Z117" s="44">
        <f t="shared" si="26"/>
        <v>4.8048922539312752E-3</v>
      </c>
      <c r="AA117" s="10">
        <f t="shared" si="37"/>
        <v>1.3571428571428572</v>
      </c>
      <c r="AB117" s="45" t="str">
        <f t="shared" si="27"/>
        <v>Hares</v>
      </c>
    </row>
    <row r="118" spans="1:28">
      <c r="C118" s="25" t="s">
        <v>148</v>
      </c>
      <c r="D118" s="55" t="s">
        <v>26</v>
      </c>
      <c r="E118" s="25" t="s">
        <v>27</v>
      </c>
      <c r="F118" s="30">
        <v>4486701</v>
      </c>
      <c r="G118" s="4">
        <f t="shared" si="28"/>
        <v>224335.05000000002</v>
      </c>
      <c r="H118" s="30">
        <v>55000</v>
      </c>
      <c r="I118" s="4">
        <f t="shared" si="22"/>
        <v>4766036.05</v>
      </c>
      <c r="J118" s="30"/>
      <c r="K118" s="4">
        <f t="shared" si="23"/>
        <v>4766036.05</v>
      </c>
      <c r="L118" s="4">
        <f t="shared" si="29"/>
        <v>953207.21</v>
      </c>
      <c r="M118" s="25">
        <v>5</v>
      </c>
      <c r="N118" s="30">
        <v>6</v>
      </c>
      <c r="O118" s="3">
        <f t="shared" si="30"/>
        <v>11</v>
      </c>
      <c r="P118" s="35">
        <v>45521</v>
      </c>
      <c r="Q118" s="46">
        <f t="shared" si="31"/>
        <v>2024</v>
      </c>
      <c r="R118" s="4" t="str">
        <f t="shared" si="32"/>
        <v>August</v>
      </c>
      <c r="S118" s="4">
        <f t="shared" si="33"/>
        <v>17</v>
      </c>
      <c r="T118" s="38">
        <v>45885</v>
      </c>
      <c r="U118" s="7">
        <f t="shared" si="34"/>
        <v>2025</v>
      </c>
      <c r="V118" s="4" t="str">
        <f t="shared" si="35"/>
        <v>August</v>
      </c>
      <c r="W118" s="4">
        <f t="shared" si="36"/>
        <v>14</v>
      </c>
      <c r="X118" s="41">
        <f t="shared" si="24"/>
        <v>1.2632642748863063E-3</v>
      </c>
      <c r="Y118" s="41">
        <f t="shared" si="25"/>
        <v>1.8604651162790699E-3</v>
      </c>
      <c r="Z118" s="44">
        <f t="shared" si="26"/>
        <v>1.6016307513104251E-3</v>
      </c>
      <c r="AA118" s="10">
        <f t="shared" si="37"/>
        <v>1.2</v>
      </c>
      <c r="AB118" s="45" t="str">
        <f t="shared" si="27"/>
        <v>Hares</v>
      </c>
    </row>
    <row r="119" spans="1:28">
      <c r="C119" s="25" t="s">
        <v>149</v>
      </c>
      <c r="D119" s="55" t="s">
        <v>26</v>
      </c>
      <c r="E119" s="25" t="s">
        <v>27</v>
      </c>
      <c r="F119" s="30">
        <v>6468621</v>
      </c>
      <c r="G119" s="4">
        <f t="shared" si="28"/>
        <v>323431.05000000005</v>
      </c>
      <c r="H119" s="30">
        <v>190000</v>
      </c>
      <c r="I119" s="4">
        <f t="shared" si="22"/>
        <v>6982052.0499999998</v>
      </c>
      <c r="J119" s="30"/>
      <c r="K119" s="4">
        <f t="shared" si="23"/>
        <v>6982052.0499999998</v>
      </c>
      <c r="L119" s="4">
        <f t="shared" si="29"/>
        <v>872756.50624999998</v>
      </c>
      <c r="M119" s="25">
        <v>8</v>
      </c>
      <c r="N119" s="30">
        <v>11</v>
      </c>
      <c r="O119" s="3">
        <f t="shared" si="30"/>
        <v>19</v>
      </c>
      <c r="P119" s="35">
        <v>45521</v>
      </c>
      <c r="Q119" s="46">
        <f t="shared" si="31"/>
        <v>2024</v>
      </c>
      <c r="R119" s="4" t="str">
        <f t="shared" si="32"/>
        <v>August</v>
      </c>
      <c r="S119" s="4">
        <f t="shared" si="33"/>
        <v>17</v>
      </c>
      <c r="T119" s="38">
        <v>45885</v>
      </c>
      <c r="U119" s="7">
        <f t="shared" si="34"/>
        <v>2025</v>
      </c>
      <c r="V119" s="4" t="str">
        <f t="shared" si="35"/>
        <v>August</v>
      </c>
      <c r="W119" s="4">
        <f t="shared" si="36"/>
        <v>16</v>
      </c>
      <c r="X119" s="41">
        <f t="shared" si="24"/>
        <v>2.0212228398180901E-3</v>
      </c>
      <c r="Y119" s="41">
        <f t="shared" si="25"/>
        <v>3.4108527131782944E-3</v>
      </c>
      <c r="Z119" s="44">
        <f t="shared" si="26"/>
        <v>2.7664531158998252E-3</v>
      </c>
      <c r="AA119" s="10">
        <f t="shared" si="37"/>
        <v>1.375</v>
      </c>
      <c r="AB119" s="45" t="str">
        <f t="shared" si="27"/>
        <v>Hares</v>
      </c>
    </row>
    <row r="120" spans="1:28">
      <c r="C120" s="25" t="s">
        <v>150</v>
      </c>
      <c r="D120" s="55" t="s">
        <v>26</v>
      </c>
      <c r="E120" s="25" t="s">
        <v>27</v>
      </c>
      <c r="F120" s="30">
        <v>5141252</v>
      </c>
      <c r="G120" s="4">
        <f t="shared" si="28"/>
        <v>257062.6</v>
      </c>
      <c r="H120" s="30">
        <v>90000</v>
      </c>
      <c r="I120" s="4">
        <f t="shared" si="22"/>
        <v>5488314.5999999996</v>
      </c>
      <c r="J120" s="30">
        <v>0</v>
      </c>
      <c r="K120" s="4">
        <f t="shared" si="23"/>
        <v>5488314.5999999996</v>
      </c>
      <c r="L120" s="4">
        <f t="shared" si="29"/>
        <v>1829438.2</v>
      </c>
      <c r="M120" s="25">
        <v>3</v>
      </c>
      <c r="N120" s="30">
        <v>6</v>
      </c>
      <c r="O120" s="3">
        <f t="shared" si="30"/>
        <v>9</v>
      </c>
      <c r="P120" s="35">
        <v>45536</v>
      </c>
      <c r="Q120" s="46">
        <f t="shared" si="31"/>
        <v>2024</v>
      </c>
      <c r="R120" s="4" t="str">
        <f t="shared" si="32"/>
        <v>September</v>
      </c>
      <c r="S120" s="4">
        <f t="shared" si="33"/>
        <v>1</v>
      </c>
      <c r="T120" s="38">
        <v>45900</v>
      </c>
      <c r="U120" s="7">
        <f t="shared" si="34"/>
        <v>2025</v>
      </c>
      <c r="V120" s="4" t="str">
        <f t="shared" si="35"/>
        <v>August</v>
      </c>
      <c r="W120" s="4">
        <f t="shared" si="36"/>
        <v>16</v>
      </c>
      <c r="X120" s="41">
        <f t="shared" si="24"/>
        <v>7.5795856493178374E-4</v>
      </c>
      <c r="Y120" s="41">
        <f t="shared" si="25"/>
        <v>1.8604651162790699E-3</v>
      </c>
      <c r="Z120" s="44">
        <f t="shared" si="26"/>
        <v>1.3104251601630751E-3</v>
      </c>
      <c r="AA120" s="10">
        <f t="shared" si="37"/>
        <v>2</v>
      </c>
      <c r="AB120" s="45" t="str">
        <f t="shared" si="27"/>
        <v>Hares</v>
      </c>
    </row>
    <row r="121" spans="1:28">
      <c r="X121"/>
      <c r="Y121"/>
    </row>
    <row r="122" spans="1:28">
      <c r="X122"/>
      <c r="Y122"/>
    </row>
    <row r="123" spans="1:28">
      <c r="X123"/>
      <c r="Y123"/>
    </row>
    <row r="124" spans="1:28">
      <c r="X124"/>
      <c r="Y124"/>
    </row>
    <row r="125" spans="1:28">
      <c r="X125"/>
      <c r="Y125"/>
    </row>
    <row r="133" spans="5:27">
      <c r="E133" t="s">
        <v>78</v>
      </c>
      <c r="F133" s="18">
        <f t="shared" ref="F133:K133" si="38">SUM(F2:F50)</f>
        <v>824848636.87731361</v>
      </c>
      <c r="G133" s="18">
        <f t="shared" si="38"/>
        <v>41242431.843865678</v>
      </c>
      <c r="H133" s="18">
        <f t="shared" si="38"/>
        <v>12279000</v>
      </c>
      <c r="I133" s="18">
        <f t="shared" si="38"/>
        <v>878370068.72117937</v>
      </c>
      <c r="J133" s="18">
        <f t="shared" si="38"/>
        <v>20247153.550000001</v>
      </c>
      <c r="K133" s="18">
        <f t="shared" si="38"/>
        <v>898617222.27117932</v>
      </c>
      <c r="L133" s="18"/>
      <c r="M133" s="18">
        <f>SUM(M2:M120)</f>
        <v>3958</v>
      </c>
      <c r="N133" s="18">
        <f>SUM(N2:N120)</f>
        <v>3225</v>
      </c>
      <c r="O133" s="18">
        <f>SUM(O2:O120)</f>
        <v>6868</v>
      </c>
      <c r="X133" s="19">
        <f>++SUM(X2:X50)</f>
        <v>0.49949469429004545</v>
      </c>
      <c r="Y133" s="19">
        <f>++SUM(Y2:Y50)</f>
        <v>0.28930232558139535</v>
      </c>
      <c r="Z133" s="19">
        <f>++SUM(Z2:Z50)</f>
        <v>0.37783925451368677</v>
      </c>
    </row>
    <row r="134" spans="5:27">
      <c r="H134" s="20"/>
      <c r="K134" s="18"/>
      <c r="L134" s="18"/>
      <c r="M134" s="18"/>
      <c r="N134" s="21"/>
      <c r="O134" s="18"/>
    </row>
    <row r="135" spans="5:27">
      <c r="E135" t="s">
        <v>79</v>
      </c>
      <c r="F135" s="18">
        <f>AVERAGE(F2:F50)</f>
        <v>16833645.650557421</v>
      </c>
      <c r="G135" s="18">
        <f>AVERAGE(G2:G50)</f>
        <v>841682.28252787096</v>
      </c>
      <c r="H135" s="18">
        <f>AVERAGE(H2:H50)</f>
        <v>250591.83673469388</v>
      </c>
      <c r="I135" s="18">
        <f>AVERAGE(I2:I50)</f>
        <v>17925919.769819986</v>
      </c>
      <c r="K135" s="18">
        <f>AVERAGE(K2:K50)</f>
        <v>18339126.985126108</v>
      </c>
      <c r="L135" s="18">
        <f>AVERAGE(L2:L50)</f>
        <v>846818.02707939188</v>
      </c>
      <c r="M135" s="18">
        <f>AVERAGE(M2:M50)</f>
        <v>40.346938775510203</v>
      </c>
      <c r="N135" s="18">
        <f>AVERAGE(N2:N50)</f>
        <v>19.040816326530614</v>
      </c>
      <c r="O135" s="18">
        <f>AVERAGE(O2:O50)</f>
        <v>52.95918367346939</v>
      </c>
      <c r="AA135" s="22">
        <f>AVERAGE(AA2:AA50)</f>
        <v>1.0302762648156074</v>
      </c>
    </row>
    <row r="136" spans="5:27">
      <c r="E136" t="s">
        <v>80</v>
      </c>
      <c r="F136" s="18">
        <f>MEDIAN(F2:F50)</f>
        <v>2920457</v>
      </c>
      <c r="G136" s="18">
        <f>MEDIAN(G2:G50)</f>
        <v>146022.85</v>
      </c>
      <c r="H136" s="18">
        <f>MEDIAN(H2:H50)</f>
        <v>80000</v>
      </c>
      <c r="I136" s="18">
        <f>MEDIAN(I2:I50)</f>
        <v>3126479.85</v>
      </c>
      <c r="K136" s="18">
        <f>MEDIAN(K2:K50)</f>
        <v>4049817.1</v>
      </c>
      <c r="L136" s="18">
        <f>MEDIAN(L2:L50)</f>
        <v>717463.75</v>
      </c>
      <c r="M136" s="18">
        <f>MEDIAN(M2:M50)</f>
        <v>5</v>
      </c>
      <c r="N136" s="18">
        <f>MEDIAN(N2:N50)</f>
        <v>3</v>
      </c>
      <c r="O136" s="18">
        <f>MEDIAN(O2:O50)</f>
        <v>10</v>
      </c>
      <c r="AA136" s="22">
        <f>MEDIAN(AA2:AA50)</f>
        <v>0.75</v>
      </c>
    </row>
    <row r="137" spans="5:27">
      <c r="E137" t="s">
        <v>81</v>
      </c>
      <c r="F137" s="18">
        <f>SUMPRODUCT(F2:F50,Z2:Z50)</f>
        <v>56788989.680646874</v>
      </c>
      <c r="G137" s="18">
        <f>SUMPRODUCT(Z2:Z50,G2:G50)</f>
        <v>2839449.4840323436</v>
      </c>
      <c r="H137" s="18">
        <f>SUMPRODUCT(I2:I50,Z2:Z50)</f>
        <v>60109320.061592445</v>
      </c>
      <c r="I137" s="18">
        <f>SUMPRODUCT(I2:I50,Z2:Z50)</f>
        <v>60109320.061592445</v>
      </c>
      <c r="K137" s="18">
        <f>SUMPRODUCT(Z2:Z50,K2:K50)</f>
        <v>60429869.842219993</v>
      </c>
      <c r="L137" s="18">
        <f>SUMPRODUCT(Z2:Z50,L2:L50)</f>
        <v>209417.15726428144</v>
      </c>
      <c r="M137" s="18">
        <f>SUMPRODUCT(X2:X50,M2:M50)</f>
        <v>266.29434057604851</v>
      </c>
      <c r="N137" s="18">
        <f>SUMPRODUCT(Y2:Y50,N2:N50)</f>
        <v>55.090542635658913</v>
      </c>
      <c r="O137" s="18">
        <f>SUMPRODUCT(Z2:Z50,O2:O50)</f>
        <v>170.60381479324403</v>
      </c>
      <c r="AA137" s="23">
        <f>SUMPRODUCT(AA2:AA50,Z2:Z50)</f>
        <v>0.28055566378112878</v>
      </c>
    </row>
    <row r="138" spans="5:27">
      <c r="X138"/>
      <c r="Y138"/>
    </row>
  </sheetData>
  <sortState xmlns:xlrd2="http://schemas.microsoft.com/office/spreadsheetml/2017/richdata2" ref="A114:B117">
    <sortCondition ref="A113:A117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SHARK TECHNOLOGY</dc:creator>
  <cp:lastModifiedBy>ngeyenbonje@gmail.com</cp:lastModifiedBy>
  <dcterms:created xsi:type="dcterms:W3CDTF">2024-09-10T18:03:48Z</dcterms:created>
  <dcterms:modified xsi:type="dcterms:W3CDTF">2024-09-26T08:21:24Z</dcterms:modified>
</cp:coreProperties>
</file>