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338BF9F8-36A8-472E-9E35-C7A5D81BA62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BUSINES'!$A$2:$AC$126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F225" i="2" l="1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27" i="1"/>
  <c r="Q128" i="1"/>
  <c r="Q129" i="1"/>
  <c r="Q130" i="1"/>
  <c r="Q131" i="1"/>
  <c r="Q132" i="1"/>
  <c r="Q133" i="1"/>
  <c r="Q134" i="1"/>
  <c r="Q135" i="1"/>
  <c r="Q136" i="1"/>
  <c r="N7" i="4"/>
  <c r="M7" i="4"/>
  <c r="L7" i="4"/>
  <c r="K7" i="4"/>
  <c r="J7" i="4"/>
  <c r="I7" i="4"/>
  <c r="H7" i="4"/>
  <c r="G7" i="4"/>
  <c r="F7" i="4"/>
  <c r="E7" i="4"/>
  <c r="D7" i="4"/>
  <c r="C7" i="4"/>
  <c r="I7" i="3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J8" i="4" s="1"/>
  <c r="H2" i="3"/>
  <c r="B2" i="3"/>
  <c r="H217" i="2"/>
  <c r="J217" i="2" s="1"/>
  <c r="K217" i="2" s="1"/>
  <c r="F217" i="2"/>
  <c r="E217" i="2"/>
  <c r="H220" i="2"/>
  <c r="J220" i="2" s="1"/>
  <c r="F220" i="2"/>
  <c r="E220" i="2"/>
  <c r="H219" i="2"/>
  <c r="J219" i="2" s="1"/>
  <c r="F219" i="2"/>
  <c r="E219" i="2"/>
  <c r="K218" i="2"/>
  <c r="H218" i="2"/>
  <c r="J218" i="2" s="1"/>
  <c r="F218" i="2"/>
  <c r="E218" i="2"/>
  <c r="H216" i="2"/>
  <c r="J216" i="2" s="1"/>
  <c r="K216" i="2" s="1"/>
  <c r="F216" i="2"/>
  <c r="E216" i="2"/>
  <c r="H191" i="2"/>
  <c r="J191" i="2" s="1"/>
  <c r="F191" i="2"/>
  <c r="E191" i="2"/>
  <c r="H190" i="2"/>
  <c r="J190" i="2" s="1"/>
  <c r="F190" i="2"/>
  <c r="E190" i="2"/>
  <c r="H215" i="2"/>
  <c r="J215" i="2" s="1"/>
  <c r="F215" i="2"/>
  <c r="E215" i="2"/>
  <c r="K214" i="2"/>
  <c r="J214" i="2"/>
  <c r="H214" i="2"/>
  <c r="F214" i="2"/>
  <c r="E214" i="2"/>
  <c r="H213" i="2"/>
  <c r="J213" i="2" s="1"/>
  <c r="F213" i="2"/>
  <c r="E213" i="2"/>
  <c r="H212" i="2"/>
  <c r="J212" i="2" s="1"/>
  <c r="F212" i="2"/>
  <c r="E212" i="2"/>
  <c r="H211" i="2"/>
  <c r="J211" i="2" s="1"/>
  <c r="K211" i="2" s="1"/>
  <c r="M211" i="2" s="1"/>
  <c r="F211" i="2"/>
  <c r="E211" i="2"/>
  <c r="H210" i="2"/>
  <c r="J210" i="2" s="1"/>
  <c r="K210" i="2" s="1"/>
  <c r="F210" i="2"/>
  <c r="E210" i="2"/>
  <c r="H209" i="2"/>
  <c r="J209" i="2" s="1"/>
  <c r="K209" i="2" s="1"/>
  <c r="F209" i="2"/>
  <c r="E209" i="2"/>
  <c r="H208" i="2"/>
  <c r="J208" i="2" s="1"/>
  <c r="F208" i="2"/>
  <c r="E208" i="2"/>
  <c r="H207" i="2"/>
  <c r="J207" i="2" s="1"/>
  <c r="K207" i="2" s="1"/>
  <c r="M207" i="2" s="1"/>
  <c r="F207" i="2"/>
  <c r="E207" i="2"/>
  <c r="H206" i="2"/>
  <c r="J206" i="2" s="1"/>
  <c r="F206" i="2"/>
  <c r="E206" i="2"/>
  <c r="H205" i="2"/>
  <c r="J205" i="2" s="1"/>
  <c r="F205" i="2"/>
  <c r="E205" i="2"/>
  <c r="H204" i="2"/>
  <c r="J204" i="2" s="1"/>
  <c r="K204" i="2" s="1"/>
  <c r="F204" i="2"/>
  <c r="E204" i="2"/>
  <c r="H203" i="2"/>
  <c r="J203" i="2" s="1"/>
  <c r="K203" i="2" s="1"/>
  <c r="M203" i="2" s="1"/>
  <c r="F203" i="2"/>
  <c r="E203" i="2"/>
  <c r="H202" i="2"/>
  <c r="J202" i="2" s="1"/>
  <c r="F202" i="2"/>
  <c r="E202" i="2"/>
  <c r="J201" i="2"/>
  <c r="H201" i="2"/>
  <c r="F201" i="2"/>
  <c r="E201" i="2"/>
  <c r="H200" i="2"/>
  <c r="J200" i="2" s="1"/>
  <c r="K200" i="2" s="1"/>
  <c r="F200" i="2"/>
  <c r="E200" i="2"/>
  <c r="H199" i="2"/>
  <c r="J199" i="2" s="1"/>
  <c r="F199" i="2"/>
  <c r="E199" i="2"/>
  <c r="H198" i="2"/>
  <c r="J198" i="2" s="1"/>
  <c r="F198" i="2"/>
  <c r="E198" i="2"/>
  <c r="J197" i="2"/>
  <c r="K197" i="2" s="1"/>
  <c r="H197" i="2"/>
  <c r="F197" i="2"/>
  <c r="E197" i="2"/>
  <c r="H196" i="2"/>
  <c r="J196" i="2" s="1"/>
  <c r="K196" i="2" s="1"/>
  <c r="F196" i="2"/>
  <c r="E196" i="2"/>
  <c r="H195" i="2"/>
  <c r="J195" i="2" s="1"/>
  <c r="K195" i="2" s="1"/>
  <c r="M195" i="2" s="1"/>
  <c r="F195" i="2"/>
  <c r="E195" i="2"/>
  <c r="J194" i="2"/>
  <c r="H194" i="2"/>
  <c r="F194" i="2"/>
  <c r="E194" i="2"/>
  <c r="H193" i="2"/>
  <c r="J193" i="2" s="1"/>
  <c r="F193" i="2"/>
  <c r="E193" i="2"/>
  <c r="H192" i="2"/>
  <c r="J192" i="2" s="1"/>
  <c r="K192" i="2" s="1"/>
  <c r="F192" i="2"/>
  <c r="E192" i="2"/>
  <c r="H189" i="2"/>
  <c r="J189" i="2" s="1"/>
  <c r="F189" i="2"/>
  <c r="E189" i="2"/>
  <c r="H188" i="2"/>
  <c r="J188" i="2" s="1"/>
  <c r="F188" i="2"/>
  <c r="E188" i="2"/>
  <c r="H185" i="2"/>
  <c r="J185" i="2" s="1"/>
  <c r="K185" i="2" s="1"/>
  <c r="F185" i="2"/>
  <c r="E185" i="2"/>
  <c r="K187" i="2"/>
  <c r="H187" i="2"/>
  <c r="J187" i="2" s="1"/>
  <c r="F187" i="2"/>
  <c r="E187" i="2"/>
  <c r="H186" i="2"/>
  <c r="J186" i="2" s="1"/>
  <c r="K186" i="2" s="1"/>
  <c r="F186" i="2"/>
  <c r="E186" i="2"/>
  <c r="H184" i="2"/>
  <c r="J184" i="2" s="1"/>
  <c r="F184" i="2"/>
  <c r="E184" i="2"/>
  <c r="H183" i="2"/>
  <c r="J183" i="2" s="1"/>
  <c r="F183" i="2"/>
  <c r="E183" i="2"/>
  <c r="J182" i="2"/>
  <c r="K182" i="2" s="1"/>
  <c r="F182" i="2"/>
  <c r="E182" i="2"/>
  <c r="J181" i="2"/>
  <c r="F181" i="2"/>
  <c r="E181" i="2"/>
  <c r="H180" i="2"/>
  <c r="J180" i="2" s="1"/>
  <c r="F180" i="2"/>
  <c r="E180" i="2"/>
  <c r="F179" i="2"/>
  <c r="E179" i="2"/>
  <c r="H144" i="2"/>
  <c r="J144" i="2" s="1"/>
  <c r="K144" i="2" s="1"/>
  <c r="F144" i="2"/>
  <c r="E144" i="2"/>
  <c r="H143" i="2"/>
  <c r="J143" i="2" s="1"/>
  <c r="K143" i="2" s="1"/>
  <c r="F143" i="2"/>
  <c r="E143" i="2"/>
  <c r="H142" i="2"/>
  <c r="J142" i="2" s="1"/>
  <c r="K142" i="2" s="1"/>
  <c r="F142" i="2"/>
  <c r="E142" i="2"/>
  <c r="F176" i="2"/>
  <c r="E176" i="2"/>
  <c r="F175" i="2"/>
  <c r="E175" i="2"/>
  <c r="F174" i="2"/>
  <c r="E174" i="2"/>
  <c r="F178" i="2"/>
  <c r="E178" i="2"/>
  <c r="F224" i="2"/>
  <c r="E224" i="2"/>
  <c r="F76" i="2"/>
  <c r="E76" i="2"/>
  <c r="F81" i="2"/>
  <c r="E81" i="2"/>
  <c r="F177" i="2"/>
  <c r="E177" i="2"/>
  <c r="F171" i="2"/>
  <c r="E171" i="2"/>
  <c r="F75" i="2"/>
  <c r="E75" i="2"/>
  <c r="F169" i="2"/>
  <c r="E169" i="2"/>
  <c r="F168" i="2"/>
  <c r="E168" i="2"/>
  <c r="F167" i="2"/>
  <c r="E167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0" i="2"/>
  <c r="E150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223" i="2"/>
  <c r="E223" i="2"/>
  <c r="F222" i="2"/>
  <c r="E222" i="2"/>
  <c r="F221" i="2"/>
  <c r="E221" i="2"/>
  <c r="F173" i="2"/>
  <c r="E173" i="2"/>
  <c r="F172" i="2"/>
  <c r="E172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98" i="2"/>
  <c r="E98" i="2"/>
  <c r="F97" i="2"/>
  <c r="E97" i="2"/>
  <c r="F170" i="2"/>
  <c r="E170" i="2"/>
  <c r="F166" i="2"/>
  <c r="E166" i="2"/>
  <c r="F152" i="2"/>
  <c r="E152" i="2"/>
  <c r="F151" i="2"/>
  <c r="E151" i="2"/>
  <c r="F149" i="2"/>
  <c r="E149" i="2"/>
  <c r="F148" i="2"/>
  <c r="E148" i="2"/>
  <c r="H122" i="2"/>
  <c r="J122" i="2" s="1"/>
  <c r="F122" i="2"/>
  <c r="E122" i="2"/>
  <c r="H121" i="2"/>
  <c r="J121" i="2" s="1"/>
  <c r="K121" i="2" s="1"/>
  <c r="F121" i="2"/>
  <c r="E121" i="2"/>
  <c r="H120" i="2"/>
  <c r="J120" i="2" s="1"/>
  <c r="K120" i="2" s="1"/>
  <c r="M120" i="2" s="1"/>
  <c r="F120" i="2"/>
  <c r="E120" i="2"/>
  <c r="H119" i="2"/>
  <c r="J119" i="2" s="1"/>
  <c r="F119" i="2"/>
  <c r="E119" i="2"/>
  <c r="H147" i="2"/>
  <c r="J147" i="2" s="1"/>
  <c r="F147" i="2"/>
  <c r="E147" i="2"/>
  <c r="H146" i="2"/>
  <c r="J146" i="2" s="1"/>
  <c r="F146" i="2"/>
  <c r="E146" i="2"/>
  <c r="H145" i="2"/>
  <c r="J145" i="2" s="1"/>
  <c r="F145" i="2"/>
  <c r="E145" i="2"/>
  <c r="H118" i="2"/>
  <c r="J118" i="2" s="1"/>
  <c r="F118" i="2"/>
  <c r="E118" i="2"/>
  <c r="H109" i="2"/>
  <c r="J109" i="2" s="1"/>
  <c r="F109" i="2"/>
  <c r="E109" i="2"/>
  <c r="H108" i="2"/>
  <c r="J108" i="2" s="1"/>
  <c r="F108" i="2"/>
  <c r="E108" i="2"/>
  <c r="H84" i="2"/>
  <c r="J84" i="2" s="1"/>
  <c r="K84" i="2" s="1"/>
  <c r="M84" i="2" s="1"/>
  <c r="F84" i="2"/>
  <c r="E84" i="2"/>
  <c r="H80" i="2"/>
  <c r="J80" i="2" s="1"/>
  <c r="F80" i="2"/>
  <c r="E80" i="2"/>
  <c r="H125" i="2"/>
  <c r="J125" i="2" s="1"/>
  <c r="F125" i="2"/>
  <c r="E125" i="2"/>
  <c r="H101" i="2"/>
  <c r="J101" i="2" s="1"/>
  <c r="F101" i="2"/>
  <c r="E101" i="2"/>
  <c r="H113" i="2"/>
  <c r="J113" i="2" s="1"/>
  <c r="K113" i="2" s="1"/>
  <c r="M113" i="2" s="1"/>
  <c r="F113" i="2"/>
  <c r="E113" i="2"/>
  <c r="H112" i="2"/>
  <c r="J112" i="2" s="1"/>
  <c r="F112" i="2"/>
  <c r="E112" i="2"/>
  <c r="H111" i="2"/>
  <c r="J111" i="2" s="1"/>
  <c r="F111" i="2"/>
  <c r="E111" i="2"/>
  <c r="H110" i="2"/>
  <c r="J110" i="2" s="1"/>
  <c r="K110" i="2" s="1"/>
  <c r="F110" i="2"/>
  <c r="E110" i="2"/>
  <c r="H117" i="2"/>
  <c r="J117" i="2" s="1"/>
  <c r="F117" i="2"/>
  <c r="E117" i="2"/>
  <c r="H116" i="2"/>
  <c r="J116" i="2" s="1"/>
  <c r="F116" i="2"/>
  <c r="E116" i="2"/>
  <c r="H115" i="2"/>
  <c r="J115" i="2" s="1"/>
  <c r="F115" i="2"/>
  <c r="E115" i="2"/>
  <c r="H114" i="2"/>
  <c r="J114" i="2" s="1"/>
  <c r="F114" i="2"/>
  <c r="E114" i="2"/>
  <c r="H124" i="2"/>
  <c r="J124" i="2" s="1"/>
  <c r="K124" i="2" s="1"/>
  <c r="M124" i="2" s="1"/>
  <c r="F124" i="2"/>
  <c r="E124" i="2"/>
  <c r="H123" i="2"/>
  <c r="J123" i="2" s="1"/>
  <c r="F123" i="2"/>
  <c r="E123" i="2"/>
  <c r="H100" i="2"/>
  <c r="J100" i="2" s="1"/>
  <c r="F100" i="2"/>
  <c r="E100" i="2"/>
  <c r="H96" i="2"/>
  <c r="J96" i="2" s="1"/>
  <c r="K96" i="2" s="1"/>
  <c r="F96" i="2"/>
  <c r="E96" i="2"/>
  <c r="H99" i="2"/>
  <c r="J99" i="2" s="1"/>
  <c r="F99" i="2"/>
  <c r="E99" i="2"/>
  <c r="H94" i="2"/>
  <c r="J94" i="2" s="1"/>
  <c r="F94" i="2"/>
  <c r="E94" i="2"/>
  <c r="H93" i="2"/>
  <c r="J93" i="2" s="1"/>
  <c r="F93" i="2"/>
  <c r="E93" i="2"/>
  <c r="H92" i="2"/>
  <c r="J92" i="2" s="1"/>
  <c r="F92" i="2"/>
  <c r="E92" i="2"/>
  <c r="H91" i="2"/>
  <c r="J91" i="2" s="1"/>
  <c r="K91" i="2" s="1"/>
  <c r="M91" i="2" s="1"/>
  <c r="F91" i="2"/>
  <c r="E91" i="2"/>
  <c r="H90" i="2"/>
  <c r="J90" i="2" s="1"/>
  <c r="F90" i="2"/>
  <c r="E90" i="2"/>
  <c r="H89" i="2"/>
  <c r="J89" i="2" s="1"/>
  <c r="F89" i="2"/>
  <c r="E89" i="2"/>
  <c r="H88" i="2"/>
  <c r="J88" i="2" s="1"/>
  <c r="K88" i="2" s="1"/>
  <c r="F88" i="2"/>
  <c r="E88" i="2"/>
  <c r="H87" i="2"/>
  <c r="J87" i="2" s="1"/>
  <c r="K87" i="2" s="1"/>
  <c r="F87" i="2"/>
  <c r="E87" i="2"/>
  <c r="H86" i="2"/>
  <c r="J86" i="2" s="1"/>
  <c r="F86" i="2"/>
  <c r="E86" i="2"/>
  <c r="H85" i="2"/>
  <c r="J85" i="2" s="1"/>
  <c r="F85" i="2"/>
  <c r="E85" i="2"/>
  <c r="H83" i="2"/>
  <c r="J83" i="2" s="1"/>
  <c r="F83" i="2"/>
  <c r="E83" i="2"/>
  <c r="H82" i="2"/>
  <c r="J82" i="2" s="1"/>
  <c r="F82" i="2"/>
  <c r="E82" i="2"/>
  <c r="H78" i="2"/>
  <c r="J78" i="2" s="1"/>
  <c r="F78" i="2"/>
  <c r="E78" i="2"/>
  <c r="H95" i="2"/>
  <c r="J95" i="2" s="1"/>
  <c r="F95" i="2"/>
  <c r="E95" i="2"/>
  <c r="H79" i="2"/>
  <c r="J79" i="2" s="1"/>
  <c r="F79" i="2"/>
  <c r="E79" i="2"/>
  <c r="H77" i="2"/>
  <c r="J77" i="2" s="1"/>
  <c r="K77" i="2" s="1"/>
  <c r="F77" i="2"/>
  <c r="E77" i="2"/>
  <c r="H52" i="2"/>
  <c r="J52" i="2" s="1"/>
  <c r="F52" i="2"/>
  <c r="E52" i="2"/>
  <c r="H44" i="2"/>
  <c r="J44" i="2" s="1"/>
  <c r="F44" i="2"/>
  <c r="E44" i="2"/>
  <c r="H74" i="2"/>
  <c r="J74" i="2" s="1"/>
  <c r="F74" i="2"/>
  <c r="E74" i="2"/>
  <c r="H73" i="2"/>
  <c r="J73" i="2" s="1"/>
  <c r="K73" i="2" s="1"/>
  <c r="M73" i="2" s="1"/>
  <c r="F73" i="2"/>
  <c r="E73" i="2"/>
  <c r="H72" i="2"/>
  <c r="J72" i="2" s="1"/>
  <c r="F72" i="2"/>
  <c r="E72" i="2"/>
  <c r="H71" i="2"/>
  <c r="J71" i="2" s="1"/>
  <c r="F71" i="2"/>
  <c r="E71" i="2"/>
  <c r="H70" i="2"/>
  <c r="J70" i="2" s="1"/>
  <c r="K70" i="2" s="1"/>
  <c r="F70" i="2"/>
  <c r="E70" i="2"/>
  <c r="H69" i="2"/>
  <c r="J69" i="2" s="1"/>
  <c r="F69" i="2"/>
  <c r="E69" i="2"/>
  <c r="H68" i="2"/>
  <c r="J68" i="2" s="1"/>
  <c r="F68" i="2"/>
  <c r="E68" i="2"/>
  <c r="H67" i="2"/>
  <c r="J67" i="2" s="1"/>
  <c r="F67" i="2"/>
  <c r="E67" i="2"/>
  <c r="H66" i="2"/>
  <c r="J66" i="2" s="1"/>
  <c r="F66" i="2"/>
  <c r="E66" i="2"/>
  <c r="H65" i="2"/>
  <c r="J65" i="2" s="1"/>
  <c r="K65" i="2" s="1"/>
  <c r="M65" i="2" s="1"/>
  <c r="F65" i="2"/>
  <c r="E65" i="2"/>
  <c r="H64" i="2"/>
  <c r="J64" i="2" s="1"/>
  <c r="F64" i="2"/>
  <c r="E64" i="2"/>
  <c r="H63" i="2"/>
  <c r="J63" i="2" s="1"/>
  <c r="F63" i="2"/>
  <c r="E63" i="2"/>
  <c r="H62" i="2"/>
  <c r="J62" i="2" s="1"/>
  <c r="K62" i="2" s="1"/>
  <c r="F62" i="2"/>
  <c r="E62" i="2"/>
  <c r="H61" i="2"/>
  <c r="J61" i="2" s="1"/>
  <c r="F61" i="2"/>
  <c r="E61" i="2"/>
  <c r="H60" i="2"/>
  <c r="J60" i="2" s="1"/>
  <c r="F60" i="2"/>
  <c r="E60" i="2"/>
  <c r="H59" i="2"/>
  <c r="J59" i="2" s="1"/>
  <c r="F59" i="2"/>
  <c r="E59" i="2"/>
  <c r="H58" i="2"/>
  <c r="J58" i="2" s="1"/>
  <c r="F58" i="2"/>
  <c r="E58" i="2"/>
  <c r="H54" i="2"/>
  <c r="J54" i="2" s="1"/>
  <c r="K54" i="2" s="1"/>
  <c r="F54" i="2"/>
  <c r="E54" i="2"/>
  <c r="H53" i="2"/>
  <c r="J53" i="2" s="1"/>
  <c r="F53" i="2"/>
  <c r="E53" i="2"/>
  <c r="H51" i="2"/>
  <c r="J51" i="2" s="1"/>
  <c r="F51" i="2"/>
  <c r="E51" i="2"/>
  <c r="H50" i="2"/>
  <c r="J50" i="2" s="1"/>
  <c r="F50" i="2"/>
  <c r="E50" i="2"/>
  <c r="H49" i="2"/>
  <c r="J49" i="2" s="1"/>
  <c r="K49" i="2" s="1"/>
  <c r="F49" i="2"/>
  <c r="E49" i="2"/>
  <c r="H48" i="2"/>
  <c r="J48" i="2" s="1"/>
  <c r="F48" i="2"/>
  <c r="E48" i="2"/>
  <c r="H47" i="2"/>
  <c r="J47" i="2" s="1"/>
  <c r="F47" i="2"/>
  <c r="E47" i="2"/>
  <c r="H46" i="2"/>
  <c r="J46" i="2" s="1"/>
  <c r="F46" i="2"/>
  <c r="E46" i="2"/>
  <c r="H45" i="2"/>
  <c r="J45" i="2" s="1"/>
  <c r="F45" i="2"/>
  <c r="E45" i="2"/>
  <c r="H43" i="2"/>
  <c r="J43" i="2" s="1"/>
  <c r="F43" i="2"/>
  <c r="E43" i="2"/>
  <c r="H42" i="2"/>
  <c r="J42" i="2" s="1"/>
  <c r="F42" i="2"/>
  <c r="E42" i="2"/>
  <c r="H41" i="2"/>
  <c r="J41" i="2" s="1"/>
  <c r="F41" i="2"/>
  <c r="E41" i="2"/>
  <c r="H40" i="2"/>
  <c r="J40" i="2" s="1"/>
  <c r="K40" i="2" s="1"/>
  <c r="F40" i="2"/>
  <c r="E40" i="2"/>
  <c r="H39" i="2"/>
  <c r="J39" i="2" s="1"/>
  <c r="F39" i="2"/>
  <c r="E39" i="2"/>
  <c r="H38" i="2"/>
  <c r="J38" i="2" s="1"/>
  <c r="F38" i="2"/>
  <c r="E38" i="2"/>
  <c r="H37" i="2"/>
  <c r="J37" i="2" s="1"/>
  <c r="F37" i="2"/>
  <c r="E37" i="2"/>
  <c r="H36" i="2"/>
  <c r="J36" i="2" s="1"/>
  <c r="K36" i="2" s="1"/>
  <c r="M36" i="2" s="1"/>
  <c r="F36" i="2"/>
  <c r="E36" i="2"/>
  <c r="H35" i="2"/>
  <c r="J35" i="2" s="1"/>
  <c r="F35" i="2"/>
  <c r="E35" i="2"/>
  <c r="H34" i="2"/>
  <c r="J34" i="2" s="1"/>
  <c r="F34" i="2"/>
  <c r="E34" i="2"/>
  <c r="H33" i="2"/>
  <c r="J33" i="2" s="1"/>
  <c r="K33" i="2" s="1"/>
  <c r="F33" i="2"/>
  <c r="E33" i="2"/>
  <c r="H32" i="2"/>
  <c r="J32" i="2" s="1"/>
  <c r="F32" i="2"/>
  <c r="E32" i="2"/>
  <c r="H31" i="2"/>
  <c r="J31" i="2" s="1"/>
  <c r="F31" i="2"/>
  <c r="E31" i="2"/>
  <c r="H30" i="2"/>
  <c r="J30" i="2" s="1"/>
  <c r="F30" i="2"/>
  <c r="E30" i="2"/>
  <c r="H29" i="2"/>
  <c r="J29" i="2" s="1"/>
  <c r="F29" i="2"/>
  <c r="E29" i="2"/>
  <c r="H28" i="2"/>
  <c r="J28" i="2" s="1"/>
  <c r="K28" i="2" s="1"/>
  <c r="M28" i="2" s="1"/>
  <c r="F28" i="2"/>
  <c r="E28" i="2"/>
  <c r="H27" i="2"/>
  <c r="J27" i="2" s="1"/>
  <c r="F27" i="2"/>
  <c r="E27" i="2"/>
  <c r="H26" i="2"/>
  <c r="J26" i="2" s="1"/>
  <c r="F26" i="2"/>
  <c r="E26" i="2"/>
  <c r="H25" i="2"/>
  <c r="J25" i="2" s="1"/>
  <c r="K25" i="2" s="1"/>
  <c r="F25" i="2"/>
  <c r="E25" i="2"/>
  <c r="H24" i="2"/>
  <c r="J24" i="2" s="1"/>
  <c r="F24" i="2"/>
  <c r="E24" i="2"/>
  <c r="H23" i="2"/>
  <c r="J23" i="2" s="1"/>
  <c r="F23" i="2"/>
  <c r="E23" i="2"/>
  <c r="H22" i="2"/>
  <c r="J22" i="2" s="1"/>
  <c r="F22" i="2"/>
  <c r="E22" i="2"/>
  <c r="J20" i="2"/>
  <c r="K20" i="2" s="1"/>
  <c r="M20" i="2" s="1"/>
  <c r="F20" i="2"/>
  <c r="E20" i="2"/>
  <c r="J19" i="2"/>
  <c r="K19" i="2" s="1"/>
  <c r="M19" i="2" s="1"/>
  <c r="F19" i="2"/>
  <c r="E19" i="2"/>
  <c r="J18" i="2"/>
  <c r="K18" i="2" s="1"/>
  <c r="F18" i="2"/>
  <c r="E18" i="2"/>
  <c r="J14" i="2"/>
  <c r="F14" i="2"/>
  <c r="E14" i="2"/>
  <c r="J13" i="2"/>
  <c r="K13" i="2" s="1"/>
  <c r="F13" i="2"/>
  <c r="E13" i="2"/>
  <c r="K55" i="2"/>
  <c r="M55" i="2" s="1"/>
  <c r="F55" i="2"/>
  <c r="E55" i="2"/>
  <c r="I21" i="2"/>
  <c r="J21" i="2" s="1"/>
  <c r="H21" i="2"/>
  <c r="F21" i="2"/>
  <c r="E21" i="2"/>
  <c r="H57" i="2"/>
  <c r="J57" i="2" s="1"/>
  <c r="K57" i="2" s="1"/>
  <c r="F57" i="2"/>
  <c r="E57" i="2"/>
  <c r="H56" i="2"/>
  <c r="J56" i="2" s="1"/>
  <c r="F56" i="2"/>
  <c r="E56" i="2"/>
  <c r="H11" i="2"/>
  <c r="J11" i="2" s="1"/>
  <c r="K11" i="2" s="1"/>
  <c r="M11" i="2" s="1"/>
  <c r="F11" i="2"/>
  <c r="E11" i="2"/>
  <c r="H17" i="2"/>
  <c r="J17" i="2" s="1"/>
  <c r="K17" i="2" s="1"/>
  <c r="F17" i="2"/>
  <c r="E17" i="2"/>
  <c r="H16" i="2"/>
  <c r="J16" i="2" s="1"/>
  <c r="F16" i="2"/>
  <c r="E16" i="2"/>
  <c r="H15" i="2"/>
  <c r="J15" i="2" s="1"/>
  <c r="K15" i="2" s="1"/>
  <c r="F15" i="2"/>
  <c r="E15" i="2"/>
  <c r="H5" i="2"/>
  <c r="J5" i="2" s="1"/>
  <c r="F5" i="2"/>
  <c r="E5" i="2"/>
  <c r="H6" i="2"/>
  <c r="J6" i="2" s="1"/>
  <c r="F6" i="2"/>
  <c r="E6" i="2"/>
  <c r="H10" i="2"/>
  <c r="J10" i="2" s="1"/>
  <c r="K10" i="2" s="1"/>
  <c r="F10" i="2"/>
  <c r="E10" i="2"/>
  <c r="H9" i="2"/>
  <c r="J9" i="2" s="1"/>
  <c r="F9" i="2"/>
  <c r="E9" i="2"/>
  <c r="H8" i="2"/>
  <c r="J8" i="2" s="1"/>
  <c r="K8" i="2" s="1"/>
  <c r="F8" i="2"/>
  <c r="E8" i="2"/>
  <c r="H7" i="2"/>
  <c r="J7" i="2" s="1"/>
  <c r="K7" i="2" s="1"/>
  <c r="F7" i="2"/>
  <c r="E7" i="2"/>
  <c r="H4" i="2"/>
  <c r="J4" i="2" s="1"/>
  <c r="F4" i="2"/>
  <c r="E4" i="2"/>
  <c r="H3" i="2"/>
  <c r="J3" i="2" s="1"/>
  <c r="K3" i="2" s="1"/>
  <c r="F3" i="2"/>
  <c r="E3" i="2"/>
  <c r="H2" i="2"/>
  <c r="J2" i="2" s="1"/>
  <c r="K2" i="2" s="1"/>
  <c r="M2" i="2" s="1"/>
  <c r="F2" i="2"/>
  <c r="E2" i="2"/>
  <c r="H12" i="2"/>
  <c r="J12" i="2" s="1"/>
  <c r="K12" i="2" s="1"/>
  <c r="F12" i="2"/>
  <c r="E12" i="2"/>
  <c r="Y124" i="1"/>
  <c r="X124" i="1"/>
  <c r="R124" i="1"/>
  <c r="Q124" i="1"/>
  <c r="K124" i="1"/>
  <c r="Y126" i="1"/>
  <c r="X126" i="1"/>
  <c r="R126" i="1"/>
  <c r="Q126" i="1"/>
  <c r="F126" i="1"/>
  <c r="H126" i="1" s="1"/>
  <c r="J126" i="1" s="1"/>
  <c r="K126" i="1" s="1"/>
  <c r="Y125" i="1"/>
  <c r="X125" i="1"/>
  <c r="R125" i="1"/>
  <c r="Q125" i="1"/>
  <c r="K125" i="1"/>
  <c r="Y122" i="1"/>
  <c r="X122" i="1"/>
  <c r="R122" i="1"/>
  <c r="Q122" i="1"/>
  <c r="N122" i="1"/>
  <c r="F122" i="1"/>
  <c r="H122" i="1" s="1"/>
  <c r="J122" i="1" s="1"/>
  <c r="K122" i="1" s="1"/>
  <c r="Y123" i="1"/>
  <c r="X123" i="1"/>
  <c r="R123" i="1"/>
  <c r="Q123" i="1"/>
  <c r="F123" i="1"/>
  <c r="H123" i="1" s="1"/>
  <c r="J123" i="1" s="1"/>
  <c r="K123" i="1" s="1"/>
  <c r="Y121" i="1"/>
  <c r="X121" i="1"/>
  <c r="R121" i="1"/>
  <c r="Q121" i="1"/>
  <c r="F121" i="1"/>
  <c r="H121" i="1" s="1"/>
  <c r="J121" i="1" s="1"/>
  <c r="K121" i="1" s="1"/>
  <c r="Y120" i="1"/>
  <c r="X120" i="1"/>
  <c r="R120" i="1"/>
  <c r="Q120" i="1"/>
  <c r="F120" i="1"/>
  <c r="H120" i="1" s="1"/>
  <c r="J120" i="1" s="1"/>
  <c r="K120" i="1" s="1"/>
  <c r="Y119" i="1"/>
  <c r="X119" i="1"/>
  <c r="R119" i="1"/>
  <c r="Q119" i="1"/>
  <c r="F119" i="1"/>
  <c r="H119" i="1" s="1"/>
  <c r="J119" i="1" s="1"/>
  <c r="K119" i="1" s="1"/>
  <c r="Y118" i="1"/>
  <c r="X118" i="1"/>
  <c r="R118" i="1"/>
  <c r="Q118" i="1"/>
  <c r="H118" i="1"/>
  <c r="J118" i="1" s="1"/>
  <c r="K118" i="1" s="1"/>
  <c r="F118" i="1"/>
  <c r="Y117" i="1"/>
  <c r="X117" i="1"/>
  <c r="R117" i="1"/>
  <c r="Q117" i="1"/>
  <c r="F117" i="1"/>
  <c r="H117" i="1" s="1"/>
  <c r="J117" i="1" s="1"/>
  <c r="K117" i="1" s="1"/>
  <c r="Y115" i="1"/>
  <c r="X115" i="1"/>
  <c r="R115" i="1"/>
  <c r="Q115" i="1"/>
  <c r="F115" i="1"/>
  <c r="H115" i="1" s="1"/>
  <c r="J115" i="1" s="1"/>
  <c r="K115" i="1" s="1"/>
  <c r="Y116" i="1"/>
  <c r="X116" i="1"/>
  <c r="R116" i="1"/>
  <c r="Q116" i="1"/>
  <c r="F116" i="1"/>
  <c r="H116" i="1" s="1"/>
  <c r="J116" i="1" s="1"/>
  <c r="K116" i="1" s="1"/>
  <c r="Y114" i="1"/>
  <c r="X114" i="1"/>
  <c r="R114" i="1"/>
  <c r="Q114" i="1"/>
  <c r="F114" i="1"/>
  <c r="H114" i="1" s="1"/>
  <c r="J114" i="1" s="1"/>
  <c r="K114" i="1" s="1"/>
  <c r="Y113" i="1"/>
  <c r="X113" i="1"/>
  <c r="R113" i="1"/>
  <c r="Q113" i="1"/>
  <c r="F113" i="1"/>
  <c r="H113" i="1" s="1"/>
  <c r="J113" i="1" s="1"/>
  <c r="K113" i="1" s="1"/>
  <c r="Y112" i="1"/>
  <c r="X112" i="1"/>
  <c r="R112" i="1"/>
  <c r="Q112" i="1"/>
  <c r="F112" i="1"/>
  <c r="H112" i="1" s="1"/>
  <c r="J112" i="1" s="1"/>
  <c r="K112" i="1" s="1"/>
  <c r="Y111" i="1"/>
  <c r="X111" i="1"/>
  <c r="R111" i="1"/>
  <c r="Q111" i="1"/>
  <c r="F111" i="1"/>
  <c r="H111" i="1" s="1"/>
  <c r="J111" i="1" s="1"/>
  <c r="K111" i="1" s="1"/>
  <c r="Y110" i="1"/>
  <c r="X110" i="1"/>
  <c r="R110" i="1"/>
  <c r="Q110" i="1"/>
  <c r="F110" i="1"/>
  <c r="H110" i="1" s="1"/>
  <c r="J110" i="1" s="1"/>
  <c r="K110" i="1" s="1"/>
  <c r="Y109" i="1"/>
  <c r="X109" i="1"/>
  <c r="R109" i="1"/>
  <c r="Q109" i="1"/>
  <c r="F109" i="1"/>
  <c r="H109" i="1" s="1"/>
  <c r="J109" i="1" s="1"/>
  <c r="K109" i="1" s="1"/>
  <c r="Y108" i="1"/>
  <c r="X108" i="1"/>
  <c r="R108" i="1"/>
  <c r="Q108" i="1"/>
  <c r="F108" i="1"/>
  <c r="H108" i="1" s="1"/>
  <c r="J108" i="1" s="1"/>
  <c r="K108" i="1" s="1"/>
  <c r="Y107" i="1"/>
  <c r="X107" i="1"/>
  <c r="R107" i="1"/>
  <c r="Q107" i="1"/>
  <c r="N107" i="1"/>
  <c r="F107" i="1"/>
  <c r="H107" i="1" s="1"/>
  <c r="J107" i="1" s="1"/>
  <c r="K107" i="1" s="1"/>
  <c r="Y106" i="1"/>
  <c r="X106" i="1"/>
  <c r="R106" i="1"/>
  <c r="Q106" i="1"/>
  <c r="N106" i="1"/>
  <c r="F106" i="1"/>
  <c r="H106" i="1" s="1"/>
  <c r="J106" i="1" s="1"/>
  <c r="K106" i="1" s="1"/>
  <c r="Y105" i="1"/>
  <c r="X105" i="1"/>
  <c r="R105" i="1"/>
  <c r="Q105" i="1"/>
  <c r="F105" i="1"/>
  <c r="H105" i="1" s="1"/>
  <c r="J105" i="1" s="1"/>
  <c r="K105" i="1" s="1"/>
  <c r="Y104" i="1"/>
  <c r="X104" i="1"/>
  <c r="R104" i="1"/>
  <c r="Q104" i="1"/>
  <c r="F104" i="1"/>
  <c r="H104" i="1" s="1"/>
  <c r="J104" i="1" s="1"/>
  <c r="K104" i="1" s="1"/>
  <c r="Y103" i="1"/>
  <c r="X103" i="1"/>
  <c r="R103" i="1"/>
  <c r="Q103" i="1"/>
  <c r="F103" i="1"/>
  <c r="H103" i="1" s="1"/>
  <c r="J103" i="1" s="1"/>
  <c r="K103" i="1" s="1"/>
  <c r="Y102" i="1"/>
  <c r="X102" i="1"/>
  <c r="R102" i="1"/>
  <c r="Q102" i="1"/>
  <c r="F102" i="1"/>
  <c r="H102" i="1" s="1"/>
  <c r="J102" i="1" s="1"/>
  <c r="K102" i="1" s="1"/>
  <c r="Y101" i="1"/>
  <c r="X101" i="1"/>
  <c r="R101" i="1"/>
  <c r="Q101" i="1"/>
  <c r="K101" i="1"/>
  <c r="Y100" i="1"/>
  <c r="X100" i="1"/>
  <c r="R100" i="1"/>
  <c r="Q100" i="1"/>
  <c r="F100" i="1"/>
  <c r="H100" i="1" s="1"/>
  <c r="J100" i="1" s="1"/>
  <c r="K100" i="1" s="1"/>
  <c r="Y99" i="1"/>
  <c r="X99" i="1"/>
  <c r="R99" i="1"/>
  <c r="Q99" i="1"/>
  <c r="F99" i="1"/>
  <c r="H99" i="1" s="1"/>
  <c r="J99" i="1" s="1"/>
  <c r="K99" i="1" s="1"/>
  <c r="Y98" i="1"/>
  <c r="X98" i="1"/>
  <c r="R98" i="1"/>
  <c r="Q98" i="1"/>
  <c r="F98" i="1"/>
  <c r="H98" i="1" s="1"/>
  <c r="J98" i="1" s="1"/>
  <c r="K98" i="1" s="1"/>
  <c r="Y96" i="1"/>
  <c r="X96" i="1"/>
  <c r="R96" i="1"/>
  <c r="Q96" i="1"/>
  <c r="N96" i="1"/>
  <c r="F96" i="1"/>
  <c r="H96" i="1" s="1"/>
  <c r="J96" i="1" s="1"/>
  <c r="K96" i="1" s="1"/>
  <c r="Y97" i="1"/>
  <c r="R97" i="1"/>
  <c r="Q97" i="1"/>
  <c r="M97" i="1"/>
  <c r="E97" i="1"/>
  <c r="Y95" i="1"/>
  <c r="X95" i="1"/>
  <c r="R95" i="1"/>
  <c r="Q95" i="1"/>
  <c r="N95" i="1"/>
  <c r="F95" i="1"/>
  <c r="H95" i="1" s="1"/>
  <c r="J95" i="1" s="1"/>
  <c r="K95" i="1" s="1"/>
  <c r="Y94" i="1"/>
  <c r="X94" i="1"/>
  <c r="R94" i="1"/>
  <c r="Q94" i="1"/>
  <c r="N94" i="1"/>
  <c r="G94" i="1"/>
  <c r="F94" i="1"/>
  <c r="Y93" i="1"/>
  <c r="X93" i="1"/>
  <c r="R93" i="1"/>
  <c r="Q93" i="1"/>
  <c r="N93" i="1"/>
  <c r="F93" i="1"/>
  <c r="H93" i="1" s="1"/>
  <c r="J93" i="1" s="1"/>
  <c r="K93" i="1" s="1"/>
  <c r="Y92" i="1"/>
  <c r="X92" i="1"/>
  <c r="R92" i="1"/>
  <c r="Q92" i="1"/>
  <c r="N92" i="1"/>
  <c r="F92" i="1"/>
  <c r="H92" i="1" s="1"/>
  <c r="J92" i="1" s="1"/>
  <c r="K92" i="1" s="1"/>
  <c r="Y91" i="1"/>
  <c r="X91" i="1"/>
  <c r="R91" i="1"/>
  <c r="Q91" i="1"/>
  <c r="N91" i="1"/>
  <c r="F91" i="1"/>
  <c r="H91" i="1" s="1"/>
  <c r="J91" i="1" s="1"/>
  <c r="K91" i="1" s="1"/>
  <c r="Y90" i="1"/>
  <c r="X90" i="1"/>
  <c r="R90" i="1"/>
  <c r="Q90" i="1"/>
  <c r="N90" i="1"/>
  <c r="F90" i="1"/>
  <c r="H90" i="1" s="1"/>
  <c r="J90" i="1" s="1"/>
  <c r="K90" i="1" s="1"/>
  <c r="Y89" i="1"/>
  <c r="X89" i="1"/>
  <c r="R89" i="1"/>
  <c r="Q89" i="1"/>
  <c r="N89" i="1"/>
  <c r="F89" i="1"/>
  <c r="H89" i="1" s="1"/>
  <c r="J89" i="1" s="1"/>
  <c r="K89" i="1" s="1"/>
  <c r="Y88" i="1"/>
  <c r="X88" i="1"/>
  <c r="R88" i="1"/>
  <c r="Q88" i="1"/>
  <c r="N88" i="1"/>
  <c r="F88" i="1"/>
  <c r="H88" i="1" s="1"/>
  <c r="J88" i="1" s="1"/>
  <c r="K88" i="1" s="1"/>
  <c r="Y87" i="1"/>
  <c r="X87" i="1"/>
  <c r="R87" i="1"/>
  <c r="Q87" i="1"/>
  <c r="N87" i="1"/>
  <c r="F87" i="1"/>
  <c r="H87" i="1" s="1"/>
  <c r="J87" i="1" s="1"/>
  <c r="K87" i="1" s="1"/>
  <c r="Y86" i="1"/>
  <c r="X86" i="1"/>
  <c r="R86" i="1"/>
  <c r="Q86" i="1"/>
  <c r="N86" i="1"/>
  <c r="F86" i="1"/>
  <c r="H86" i="1" s="1"/>
  <c r="J86" i="1" s="1"/>
  <c r="K86" i="1" s="1"/>
  <c r="Y84" i="1"/>
  <c r="X84" i="1"/>
  <c r="R84" i="1"/>
  <c r="Q84" i="1"/>
  <c r="N84" i="1"/>
  <c r="F84" i="1"/>
  <c r="H84" i="1" s="1"/>
  <c r="J84" i="1" s="1"/>
  <c r="K84" i="1" s="1"/>
  <c r="Y85" i="1"/>
  <c r="X85" i="1"/>
  <c r="R85" i="1"/>
  <c r="Q85" i="1"/>
  <c r="N85" i="1"/>
  <c r="F85" i="1"/>
  <c r="H85" i="1" s="1"/>
  <c r="J85" i="1" s="1"/>
  <c r="K85" i="1" s="1"/>
  <c r="Y83" i="1"/>
  <c r="R83" i="1"/>
  <c r="Q83" i="1"/>
  <c r="M83" i="1"/>
  <c r="X83" i="1" s="1"/>
  <c r="F83" i="1"/>
  <c r="H83" i="1" s="1"/>
  <c r="J83" i="1" s="1"/>
  <c r="K83" i="1" s="1"/>
  <c r="Y81" i="1"/>
  <c r="X81" i="1"/>
  <c r="R81" i="1"/>
  <c r="Q81" i="1"/>
  <c r="N81" i="1"/>
  <c r="F81" i="1"/>
  <c r="H81" i="1" s="1"/>
  <c r="J81" i="1" s="1"/>
  <c r="K81" i="1" s="1"/>
  <c r="Y82" i="1"/>
  <c r="R82" i="1"/>
  <c r="Q82" i="1"/>
  <c r="M82" i="1"/>
  <c r="X82" i="1" s="1"/>
  <c r="F82" i="1"/>
  <c r="H82" i="1" s="1"/>
  <c r="J82" i="1" s="1"/>
  <c r="K82" i="1" s="1"/>
  <c r="Y80" i="1"/>
  <c r="X80" i="1"/>
  <c r="R80" i="1"/>
  <c r="Q80" i="1"/>
  <c r="N80" i="1"/>
  <c r="F80" i="1"/>
  <c r="H80" i="1" s="1"/>
  <c r="J80" i="1" s="1"/>
  <c r="K80" i="1" s="1"/>
  <c r="Y79" i="1"/>
  <c r="X79" i="1"/>
  <c r="R79" i="1"/>
  <c r="Q79" i="1"/>
  <c r="N79" i="1"/>
  <c r="F79" i="1"/>
  <c r="H79" i="1" s="1"/>
  <c r="J79" i="1" s="1"/>
  <c r="K79" i="1" s="1"/>
  <c r="Y78" i="1"/>
  <c r="R78" i="1"/>
  <c r="Q78" i="1"/>
  <c r="M78" i="1"/>
  <c r="X78" i="1" s="1"/>
  <c r="I78" i="1"/>
  <c r="F78" i="1"/>
  <c r="H78" i="1" s="1"/>
  <c r="Y77" i="1"/>
  <c r="X77" i="1"/>
  <c r="R77" i="1"/>
  <c r="Q77" i="1"/>
  <c r="N77" i="1"/>
  <c r="F77" i="1"/>
  <c r="H77" i="1" s="1"/>
  <c r="J77" i="1" s="1"/>
  <c r="K77" i="1" s="1"/>
  <c r="Y76" i="1"/>
  <c r="X76" i="1"/>
  <c r="R76" i="1"/>
  <c r="Q76" i="1"/>
  <c r="N76" i="1"/>
  <c r="F76" i="1"/>
  <c r="H76" i="1" s="1"/>
  <c r="J76" i="1" s="1"/>
  <c r="K76" i="1" s="1"/>
  <c r="Y75" i="1"/>
  <c r="R75" i="1"/>
  <c r="Q75" i="1"/>
  <c r="M75" i="1"/>
  <c r="N75" i="1" s="1"/>
  <c r="G75" i="1"/>
  <c r="E75" i="1"/>
  <c r="F75" i="1" s="1"/>
  <c r="Y74" i="1"/>
  <c r="X74" i="1"/>
  <c r="R74" i="1"/>
  <c r="Q74" i="1"/>
  <c r="N74" i="1"/>
  <c r="F74" i="1"/>
  <c r="H74" i="1" s="1"/>
  <c r="J74" i="1" s="1"/>
  <c r="K74" i="1" s="1"/>
  <c r="X73" i="1"/>
  <c r="R73" i="1"/>
  <c r="Q73" i="1"/>
  <c r="L73" i="1"/>
  <c r="N73" i="1" s="1"/>
  <c r="I73" i="1"/>
  <c r="G73" i="1"/>
  <c r="E73" i="1"/>
  <c r="Y72" i="1"/>
  <c r="X72" i="1"/>
  <c r="R72" i="1"/>
  <c r="Q72" i="1"/>
  <c r="N72" i="1"/>
  <c r="F72" i="1"/>
  <c r="H72" i="1" s="1"/>
  <c r="J72" i="1" s="1"/>
  <c r="K72" i="1" s="1"/>
  <c r="Y71" i="1"/>
  <c r="X71" i="1"/>
  <c r="R71" i="1"/>
  <c r="Q71" i="1"/>
  <c r="N71" i="1"/>
  <c r="F71" i="1"/>
  <c r="H71" i="1" s="1"/>
  <c r="J71" i="1" s="1"/>
  <c r="K71" i="1" s="1"/>
  <c r="Y70" i="1"/>
  <c r="R70" i="1"/>
  <c r="Q70" i="1"/>
  <c r="M70" i="1"/>
  <c r="N70" i="1" s="1"/>
  <c r="G70" i="1"/>
  <c r="E70" i="1"/>
  <c r="Y69" i="1"/>
  <c r="X69" i="1"/>
  <c r="R69" i="1"/>
  <c r="Q69" i="1"/>
  <c r="N69" i="1"/>
  <c r="F69" i="1"/>
  <c r="H69" i="1" s="1"/>
  <c r="J69" i="1" s="1"/>
  <c r="K69" i="1" s="1"/>
  <c r="Y68" i="1"/>
  <c r="R68" i="1"/>
  <c r="Q68" i="1"/>
  <c r="M68" i="1"/>
  <c r="N68" i="1" s="1"/>
  <c r="G68" i="1"/>
  <c r="E68" i="1"/>
  <c r="F68" i="1" s="1"/>
  <c r="R67" i="1"/>
  <c r="Q67" i="1"/>
  <c r="M67" i="1"/>
  <c r="L67" i="1"/>
  <c r="Y67" i="1" s="1"/>
  <c r="F67" i="1"/>
  <c r="H67" i="1" s="1"/>
  <c r="J67" i="1" s="1"/>
  <c r="Y66" i="1"/>
  <c r="X66" i="1"/>
  <c r="R66" i="1"/>
  <c r="Q66" i="1"/>
  <c r="N66" i="1"/>
  <c r="F66" i="1"/>
  <c r="H66" i="1" s="1"/>
  <c r="J66" i="1" s="1"/>
  <c r="K66" i="1" s="1"/>
  <c r="Y65" i="1"/>
  <c r="X65" i="1"/>
  <c r="R65" i="1"/>
  <c r="Q65" i="1"/>
  <c r="N65" i="1"/>
  <c r="F65" i="1"/>
  <c r="H65" i="1" s="1"/>
  <c r="J65" i="1" s="1"/>
  <c r="K65" i="1" s="1"/>
  <c r="Y64" i="1"/>
  <c r="X64" i="1"/>
  <c r="R64" i="1"/>
  <c r="Q64" i="1"/>
  <c r="N64" i="1"/>
  <c r="E64" i="1"/>
  <c r="Y63" i="1"/>
  <c r="X63" i="1"/>
  <c r="R63" i="1"/>
  <c r="Q63" i="1"/>
  <c r="N63" i="1"/>
  <c r="F63" i="1"/>
  <c r="H63" i="1" s="1"/>
  <c r="J63" i="1" s="1"/>
  <c r="K63" i="1" s="1"/>
  <c r="Y62" i="1"/>
  <c r="X62" i="1"/>
  <c r="R62" i="1"/>
  <c r="Q62" i="1"/>
  <c r="N62" i="1"/>
  <c r="F62" i="1"/>
  <c r="H62" i="1" s="1"/>
  <c r="J62" i="1" s="1"/>
  <c r="K62" i="1" s="1"/>
  <c r="Y61" i="1"/>
  <c r="X61" i="1"/>
  <c r="R61" i="1"/>
  <c r="Q61" i="1"/>
  <c r="N61" i="1"/>
  <c r="F61" i="1"/>
  <c r="H61" i="1" s="1"/>
  <c r="J61" i="1" s="1"/>
  <c r="K61" i="1" s="1"/>
  <c r="Y60" i="1"/>
  <c r="X60" i="1"/>
  <c r="R60" i="1"/>
  <c r="Q60" i="1"/>
  <c r="N60" i="1"/>
  <c r="F60" i="1"/>
  <c r="H60" i="1" s="1"/>
  <c r="J60" i="1" s="1"/>
  <c r="K60" i="1" s="1"/>
  <c r="Y59" i="1"/>
  <c r="X59" i="1"/>
  <c r="R59" i="1"/>
  <c r="Q59" i="1"/>
  <c r="N59" i="1"/>
  <c r="F59" i="1"/>
  <c r="H59" i="1" s="1"/>
  <c r="J59" i="1" s="1"/>
  <c r="K59" i="1" s="1"/>
  <c r="Y58" i="1"/>
  <c r="X58" i="1"/>
  <c r="R58" i="1"/>
  <c r="Q58" i="1"/>
  <c r="N58" i="1"/>
  <c r="I58" i="1"/>
  <c r="F58" i="1"/>
  <c r="H58" i="1" s="1"/>
  <c r="Y57" i="1"/>
  <c r="R57" i="1"/>
  <c r="Q57" i="1"/>
  <c r="M57" i="1"/>
  <c r="X57" i="1" s="1"/>
  <c r="I57" i="1"/>
  <c r="F57" i="1"/>
  <c r="H57" i="1" s="1"/>
  <c r="J57" i="1" s="1"/>
  <c r="K57" i="1" s="1"/>
  <c r="Y56" i="1"/>
  <c r="X56" i="1"/>
  <c r="R56" i="1"/>
  <c r="Q56" i="1"/>
  <c r="K56" i="1"/>
  <c r="Y55" i="1"/>
  <c r="X55" i="1"/>
  <c r="R55" i="1"/>
  <c r="Q55" i="1"/>
  <c r="N55" i="1"/>
  <c r="F55" i="1"/>
  <c r="H55" i="1" s="1"/>
  <c r="J55" i="1" s="1"/>
  <c r="K55" i="1" s="1"/>
  <c r="Y54" i="1"/>
  <c r="R54" i="1"/>
  <c r="Q54" i="1"/>
  <c r="M54" i="1"/>
  <c r="X54" i="1" s="1"/>
  <c r="H54" i="1"/>
  <c r="J54" i="1" s="1"/>
  <c r="K54" i="1" s="1"/>
  <c r="F54" i="1"/>
  <c r="Y53" i="1"/>
  <c r="X53" i="1"/>
  <c r="R53" i="1"/>
  <c r="Q53" i="1"/>
  <c r="N53" i="1"/>
  <c r="F53" i="1"/>
  <c r="H53" i="1" s="1"/>
  <c r="J53" i="1" s="1"/>
  <c r="K53" i="1" s="1"/>
  <c r="Y52" i="1"/>
  <c r="X52" i="1"/>
  <c r="R52" i="1"/>
  <c r="Q52" i="1"/>
  <c r="N52" i="1"/>
  <c r="E52" i="1"/>
  <c r="F52" i="1" s="1"/>
  <c r="Y51" i="1"/>
  <c r="R51" i="1"/>
  <c r="Q51" i="1"/>
  <c r="M51" i="1"/>
  <c r="X51" i="1" s="1"/>
  <c r="F51" i="1"/>
  <c r="H51" i="1" s="1"/>
  <c r="J51" i="1" s="1"/>
  <c r="K51" i="1" s="1"/>
  <c r="Y50" i="1"/>
  <c r="X50" i="1"/>
  <c r="R50" i="1"/>
  <c r="Q50" i="1"/>
  <c r="N50" i="1"/>
  <c r="F50" i="1"/>
  <c r="H50" i="1" s="1"/>
  <c r="J50" i="1" s="1"/>
  <c r="K50" i="1" s="1"/>
  <c r="Y49" i="1"/>
  <c r="R49" i="1"/>
  <c r="Q49" i="1"/>
  <c r="M49" i="1"/>
  <c r="X49" i="1" s="1"/>
  <c r="F49" i="1"/>
  <c r="H49" i="1" s="1"/>
  <c r="J49" i="1" s="1"/>
  <c r="K49" i="1" s="1"/>
  <c r="R47" i="1"/>
  <c r="Q47" i="1"/>
  <c r="L47" i="1"/>
  <c r="X47" i="1" s="1"/>
  <c r="I47" i="1"/>
  <c r="G47" i="1"/>
  <c r="E47" i="1"/>
  <c r="F47" i="1" s="1"/>
  <c r="H47" i="1" s="1"/>
  <c r="Y48" i="1"/>
  <c r="X48" i="1"/>
  <c r="R48" i="1"/>
  <c r="Q48" i="1"/>
  <c r="N48" i="1"/>
  <c r="F48" i="1"/>
  <c r="H48" i="1" s="1"/>
  <c r="J48" i="1" s="1"/>
  <c r="K48" i="1" s="1"/>
  <c r="Y46" i="1"/>
  <c r="X46" i="1"/>
  <c r="R46" i="1"/>
  <c r="Q46" i="1"/>
  <c r="N46" i="1"/>
  <c r="F46" i="1"/>
  <c r="H46" i="1" s="1"/>
  <c r="J46" i="1" s="1"/>
  <c r="K46" i="1" s="1"/>
  <c r="Y45" i="1"/>
  <c r="X45" i="1"/>
  <c r="R45" i="1"/>
  <c r="Q45" i="1"/>
  <c r="N45" i="1"/>
  <c r="F45" i="1"/>
  <c r="H45" i="1" s="1"/>
  <c r="J45" i="1" s="1"/>
  <c r="K45" i="1" s="1"/>
  <c r="Y44" i="1"/>
  <c r="X44" i="1"/>
  <c r="R44" i="1"/>
  <c r="Q44" i="1"/>
  <c r="K44" i="1"/>
  <c r="Y43" i="1"/>
  <c r="X43" i="1"/>
  <c r="R43" i="1"/>
  <c r="Q43" i="1"/>
  <c r="N43" i="1"/>
  <c r="F43" i="1"/>
  <c r="H43" i="1" s="1"/>
  <c r="J43" i="1" s="1"/>
  <c r="K43" i="1" s="1"/>
  <c r="Y42" i="1"/>
  <c r="X42" i="1"/>
  <c r="R42" i="1"/>
  <c r="Q42" i="1"/>
  <c r="N42" i="1"/>
  <c r="F42" i="1"/>
  <c r="H42" i="1" s="1"/>
  <c r="J42" i="1" s="1"/>
  <c r="K42" i="1" s="1"/>
  <c r="Y40" i="1"/>
  <c r="X40" i="1"/>
  <c r="R40" i="1"/>
  <c r="Q40" i="1"/>
  <c r="N40" i="1"/>
  <c r="F40" i="1"/>
  <c r="H40" i="1" s="1"/>
  <c r="J40" i="1" s="1"/>
  <c r="K40" i="1" s="1"/>
  <c r="Y39" i="1"/>
  <c r="X39" i="1"/>
  <c r="R39" i="1"/>
  <c r="Q39" i="1"/>
  <c r="N39" i="1"/>
  <c r="E39" i="1"/>
  <c r="F39" i="1" s="1"/>
  <c r="H39" i="1" s="1"/>
  <c r="J39" i="1" s="1"/>
  <c r="K39" i="1" s="1"/>
  <c r="Y41" i="1"/>
  <c r="X41" i="1"/>
  <c r="R41" i="1"/>
  <c r="Q41" i="1"/>
  <c r="N41" i="1"/>
  <c r="F41" i="1"/>
  <c r="H41" i="1" s="1"/>
  <c r="J41" i="1" s="1"/>
  <c r="K41" i="1" s="1"/>
  <c r="Y37" i="1"/>
  <c r="X37" i="1"/>
  <c r="R37" i="1"/>
  <c r="Q37" i="1"/>
  <c r="F37" i="1"/>
  <c r="H37" i="1" s="1"/>
  <c r="J37" i="1" s="1"/>
  <c r="K37" i="1" s="1"/>
  <c r="Y38" i="1"/>
  <c r="X38" i="1"/>
  <c r="R38" i="1"/>
  <c r="Q38" i="1"/>
  <c r="K38" i="1"/>
  <c r="Y36" i="1"/>
  <c r="X36" i="1"/>
  <c r="R36" i="1"/>
  <c r="Q36" i="1"/>
  <c r="N36" i="1"/>
  <c r="F36" i="1"/>
  <c r="H36" i="1" s="1"/>
  <c r="J36" i="1" s="1"/>
  <c r="K36" i="1" s="1"/>
  <c r="Y35" i="1"/>
  <c r="X35" i="1"/>
  <c r="R35" i="1"/>
  <c r="Q35" i="1"/>
  <c r="F35" i="1"/>
  <c r="H35" i="1" s="1"/>
  <c r="J35" i="1" s="1"/>
  <c r="K35" i="1" s="1"/>
  <c r="Y34" i="1"/>
  <c r="X34" i="1"/>
  <c r="R34" i="1"/>
  <c r="Q34" i="1"/>
  <c r="N34" i="1"/>
  <c r="G34" i="1"/>
  <c r="E34" i="1"/>
  <c r="F34" i="1" s="1"/>
  <c r="Y33" i="1"/>
  <c r="X33" i="1"/>
  <c r="R33" i="1"/>
  <c r="Q33" i="1"/>
  <c r="F33" i="1"/>
  <c r="H33" i="1" s="1"/>
  <c r="J33" i="1" s="1"/>
  <c r="K33" i="1" s="1"/>
  <c r="Y32" i="1"/>
  <c r="X32" i="1"/>
  <c r="R32" i="1"/>
  <c r="Q32" i="1"/>
  <c r="F32" i="1"/>
  <c r="H32" i="1" s="1"/>
  <c r="J32" i="1" s="1"/>
  <c r="K32" i="1" s="1"/>
  <c r="Y31" i="1"/>
  <c r="X31" i="1"/>
  <c r="R31" i="1"/>
  <c r="Q31" i="1"/>
  <c r="N31" i="1"/>
  <c r="G31" i="1"/>
  <c r="E31" i="1"/>
  <c r="F31" i="1" s="1"/>
  <c r="Y30" i="1"/>
  <c r="X30" i="1"/>
  <c r="R30" i="1"/>
  <c r="Q30" i="1"/>
  <c r="F30" i="1"/>
  <c r="H30" i="1" s="1"/>
  <c r="J30" i="1" s="1"/>
  <c r="K30" i="1" s="1"/>
  <c r="Y29" i="1"/>
  <c r="R29" i="1"/>
  <c r="Q29" i="1"/>
  <c r="M29" i="1"/>
  <c r="X29" i="1" s="1"/>
  <c r="F29" i="1"/>
  <c r="H29" i="1" s="1"/>
  <c r="J29" i="1" s="1"/>
  <c r="K29" i="1" s="1"/>
  <c r="Y28" i="1"/>
  <c r="R28" i="1"/>
  <c r="Q28" i="1"/>
  <c r="M28" i="1"/>
  <c r="X28" i="1" s="1"/>
  <c r="F28" i="1"/>
  <c r="H28" i="1" s="1"/>
  <c r="J28" i="1" s="1"/>
  <c r="K28" i="1" s="1"/>
  <c r="Y27" i="1"/>
  <c r="R27" i="1"/>
  <c r="Q27" i="1"/>
  <c r="M27" i="1"/>
  <c r="X27" i="1" s="1"/>
  <c r="F27" i="1"/>
  <c r="H27" i="1" s="1"/>
  <c r="J27" i="1" s="1"/>
  <c r="K27" i="1" s="1"/>
  <c r="Y26" i="1"/>
  <c r="R26" i="1"/>
  <c r="Q26" i="1"/>
  <c r="M26" i="1"/>
  <c r="X26" i="1" s="1"/>
  <c r="F26" i="1"/>
  <c r="H26" i="1" s="1"/>
  <c r="J26" i="1" s="1"/>
  <c r="K26" i="1" s="1"/>
  <c r="Y24" i="1"/>
  <c r="R24" i="1"/>
  <c r="Q24" i="1"/>
  <c r="M24" i="1"/>
  <c r="X24" i="1" s="1"/>
  <c r="F24" i="1"/>
  <c r="H24" i="1" s="1"/>
  <c r="J24" i="1" s="1"/>
  <c r="K24" i="1" s="1"/>
  <c r="Y25" i="1"/>
  <c r="R25" i="1"/>
  <c r="Q25" i="1"/>
  <c r="M25" i="1"/>
  <c r="X25" i="1" s="1"/>
  <c r="F25" i="1"/>
  <c r="H25" i="1" s="1"/>
  <c r="J25" i="1" s="1"/>
  <c r="K25" i="1" s="1"/>
  <c r="Y23" i="1"/>
  <c r="X23" i="1"/>
  <c r="R23" i="1"/>
  <c r="Q23" i="1"/>
  <c r="N23" i="1"/>
  <c r="F23" i="1"/>
  <c r="H23" i="1" s="1"/>
  <c r="J23" i="1" s="1"/>
  <c r="K23" i="1" s="1"/>
  <c r="Y22" i="1"/>
  <c r="R22" i="1"/>
  <c r="Q22" i="1"/>
  <c r="M22" i="1"/>
  <c r="X22" i="1" s="1"/>
  <c r="F22" i="1"/>
  <c r="H22" i="1" s="1"/>
  <c r="J22" i="1" s="1"/>
  <c r="K22" i="1" s="1"/>
  <c r="Y19" i="1"/>
  <c r="R19" i="1"/>
  <c r="Q19" i="1"/>
  <c r="M19" i="1"/>
  <c r="X19" i="1" s="1"/>
  <c r="G19" i="1"/>
  <c r="E19" i="1"/>
  <c r="F19" i="1" s="1"/>
  <c r="Y20" i="1"/>
  <c r="R20" i="1"/>
  <c r="Q20" i="1"/>
  <c r="M20" i="1"/>
  <c r="X20" i="1" s="1"/>
  <c r="F20" i="1"/>
  <c r="H20" i="1" s="1"/>
  <c r="J20" i="1" s="1"/>
  <c r="K20" i="1" s="1"/>
  <c r="Y21" i="1"/>
  <c r="R21" i="1"/>
  <c r="Q21" i="1"/>
  <c r="M21" i="1"/>
  <c r="X21" i="1" s="1"/>
  <c r="F21" i="1"/>
  <c r="H21" i="1" s="1"/>
  <c r="J21" i="1" s="1"/>
  <c r="K21" i="1" s="1"/>
  <c r="Y18" i="1"/>
  <c r="R18" i="1"/>
  <c r="Q18" i="1"/>
  <c r="M18" i="1"/>
  <c r="X18" i="1" s="1"/>
  <c r="F18" i="1"/>
  <c r="H18" i="1" s="1"/>
  <c r="J18" i="1" s="1"/>
  <c r="K18" i="1" s="1"/>
  <c r="Y17" i="1"/>
  <c r="R17" i="1"/>
  <c r="Q17" i="1"/>
  <c r="M17" i="1"/>
  <c r="X17" i="1" s="1"/>
  <c r="F17" i="1"/>
  <c r="H17" i="1" s="1"/>
  <c r="J17" i="1" s="1"/>
  <c r="K17" i="1" s="1"/>
  <c r="Y16" i="1"/>
  <c r="R16" i="1"/>
  <c r="Q16" i="1"/>
  <c r="M16" i="1"/>
  <c r="X16" i="1" s="1"/>
  <c r="F16" i="1"/>
  <c r="H16" i="1" s="1"/>
  <c r="J16" i="1" s="1"/>
  <c r="K16" i="1" s="1"/>
  <c r="Y15" i="1"/>
  <c r="R15" i="1"/>
  <c r="Q15" i="1"/>
  <c r="M15" i="1"/>
  <c r="X15" i="1" s="1"/>
  <c r="F15" i="1"/>
  <c r="H15" i="1" s="1"/>
  <c r="J15" i="1" s="1"/>
  <c r="K15" i="1" s="1"/>
  <c r="Y14" i="1"/>
  <c r="R14" i="1"/>
  <c r="Q14" i="1"/>
  <c r="M14" i="1"/>
  <c r="X14" i="1" s="1"/>
  <c r="F14" i="1"/>
  <c r="H14" i="1" s="1"/>
  <c r="J14" i="1" s="1"/>
  <c r="K14" i="1" s="1"/>
  <c r="Y13" i="1"/>
  <c r="R13" i="1"/>
  <c r="Q13" i="1"/>
  <c r="M13" i="1"/>
  <c r="X13" i="1" s="1"/>
  <c r="F13" i="1"/>
  <c r="H13" i="1" s="1"/>
  <c r="J13" i="1" s="1"/>
  <c r="K13" i="1" s="1"/>
  <c r="Y12" i="1"/>
  <c r="X12" i="1"/>
  <c r="R12" i="1"/>
  <c r="Q12" i="1"/>
  <c r="M12" i="1"/>
  <c r="F12" i="1"/>
  <c r="H12" i="1" s="1"/>
  <c r="J12" i="1" s="1"/>
  <c r="K12" i="1" s="1"/>
  <c r="Y11" i="1"/>
  <c r="R11" i="1"/>
  <c r="Q11" i="1"/>
  <c r="M11" i="1"/>
  <c r="X11" i="1" s="1"/>
  <c r="F11" i="1"/>
  <c r="H11" i="1" s="1"/>
  <c r="J11" i="1" s="1"/>
  <c r="K11" i="1" s="1"/>
  <c r="Y10" i="1"/>
  <c r="R10" i="1"/>
  <c r="Q10" i="1"/>
  <c r="M10" i="1"/>
  <c r="X10" i="1" s="1"/>
  <c r="F10" i="1"/>
  <c r="H10" i="1" s="1"/>
  <c r="J10" i="1" s="1"/>
  <c r="K10" i="1" s="1"/>
  <c r="Y9" i="1"/>
  <c r="R9" i="1"/>
  <c r="Q9" i="1"/>
  <c r="M9" i="1"/>
  <c r="X9" i="1" s="1"/>
  <c r="G9" i="1"/>
  <c r="E9" i="1"/>
  <c r="Y8" i="1"/>
  <c r="R8" i="1"/>
  <c r="Q8" i="1"/>
  <c r="M8" i="1"/>
  <c r="X8" i="1" s="1"/>
  <c r="F8" i="1"/>
  <c r="H8" i="1" s="1"/>
  <c r="J8" i="1" s="1"/>
  <c r="K8" i="1" s="1"/>
  <c r="Y7" i="1"/>
  <c r="R7" i="1"/>
  <c r="Q7" i="1"/>
  <c r="M7" i="1"/>
  <c r="X7" i="1" s="1"/>
  <c r="I7" i="1"/>
  <c r="E7" i="1"/>
  <c r="F7" i="1" s="1"/>
  <c r="H7" i="1" s="1"/>
  <c r="J7" i="1" s="1"/>
  <c r="K7" i="1" s="1"/>
  <c r="Y6" i="1"/>
  <c r="R6" i="1"/>
  <c r="Q6" i="1"/>
  <c r="M6" i="1"/>
  <c r="X6" i="1" s="1"/>
  <c r="F6" i="1"/>
  <c r="H6" i="1" s="1"/>
  <c r="J6" i="1" s="1"/>
  <c r="K6" i="1" s="1"/>
  <c r="Y5" i="1"/>
  <c r="R5" i="1"/>
  <c r="Q5" i="1"/>
  <c r="M5" i="1"/>
  <c r="X5" i="1" s="1"/>
  <c r="F5" i="1"/>
  <c r="H5" i="1" s="1"/>
  <c r="J5" i="1" s="1"/>
  <c r="K5" i="1" s="1"/>
  <c r="Y4" i="1"/>
  <c r="R4" i="1"/>
  <c r="Q4" i="1"/>
  <c r="M4" i="1"/>
  <c r="X4" i="1" s="1"/>
  <c r="F4" i="1"/>
  <c r="H4" i="1" s="1"/>
  <c r="J4" i="1" s="1"/>
  <c r="K4" i="1" s="1"/>
  <c r="Y3" i="1"/>
  <c r="R3" i="1"/>
  <c r="Q3" i="1"/>
  <c r="M3" i="1"/>
  <c r="X3" i="1" s="1"/>
  <c r="G3" i="1"/>
  <c r="F3" i="1"/>
  <c r="Y2" i="1"/>
  <c r="X2" i="1"/>
  <c r="R2" i="1"/>
  <c r="Q2" i="1"/>
  <c r="N2" i="1"/>
  <c r="F2" i="1"/>
  <c r="H2" i="1" s="1"/>
  <c r="J2" i="1" s="1"/>
  <c r="K2" i="1" s="1"/>
  <c r="K189" i="2" l="1"/>
  <c r="M189" i="2" s="1"/>
  <c r="K24" i="2"/>
  <c r="M24" i="2" s="1"/>
  <c r="K99" i="2"/>
  <c r="M99" i="2" s="1"/>
  <c r="K45" i="2"/>
  <c r="M45" i="2" s="1"/>
  <c r="K82" i="2"/>
  <c r="M82" i="2" s="1"/>
  <c r="K145" i="2"/>
  <c r="M145" i="2" s="1"/>
  <c r="K61" i="2"/>
  <c r="M61" i="2" s="1"/>
  <c r="K199" i="2"/>
  <c r="M199" i="2" s="1"/>
  <c r="K14" i="2"/>
  <c r="M14" i="2" s="1"/>
  <c r="K181" i="2"/>
  <c r="M181" i="2" s="1"/>
  <c r="M186" i="2"/>
  <c r="M17" i="2"/>
  <c r="M54" i="2"/>
  <c r="M7" i="2"/>
  <c r="M8" i="2"/>
  <c r="K69" i="2"/>
  <c r="M69" i="2" s="1"/>
  <c r="M218" i="2"/>
  <c r="M142" i="2"/>
  <c r="K32" i="2"/>
  <c r="M32" i="2" s="1"/>
  <c r="K117" i="2"/>
  <c r="M117" i="2" s="1"/>
  <c r="H94" i="1"/>
  <c r="J94" i="1" s="1"/>
  <c r="K94" i="1" s="1"/>
  <c r="Y73" i="1"/>
  <c r="H3" i="1"/>
  <c r="H34" i="1"/>
  <c r="X70" i="1"/>
  <c r="N51" i="1"/>
  <c r="N57" i="1"/>
  <c r="N78" i="1"/>
  <c r="X67" i="1"/>
  <c r="N54" i="1"/>
  <c r="X75" i="1"/>
  <c r="N67" i="1"/>
  <c r="J47" i="1"/>
  <c r="K47" i="1" s="1"/>
  <c r="Y47" i="1"/>
  <c r="H75" i="1"/>
  <c r="J75" i="1" s="1"/>
  <c r="K75" i="1" s="1"/>
  <c r="H31" i="1"/>
  <c r="J31" i="1" s="1"/>
  <c r="K31" i="1" s="1"/>
  <c r="K67" i="1"/>
  <c r="X68" i="1"/>
  <c r="H52" i="1"/>
  <c r="J52" i="1" s="1"/>
  <c r="K52" i="1" s="1"/>
  <c r="N83" i="1"/>
  <c r="H68" i="1"/>
  <c r="J68" i="1" s="1"/>
  <c r="K68" i="1" s="1"/>
  <c r="H19" i="1"/>
  <c r="J19" i="1" s="1"/>
  <c r="K19" i="1" s="1"/>
  <c r="J78" i="1"/>
  <c r="K78" i="1" s="1"/>
  <c r="J34" i="1"/>
  <c r="K34" i="1" s="1"/>
  <c r="J3" i="1"/>
  <c r="K3" i="1" s="1"/>
  <c r="K21" i="2"/>
  <c r="M21" i="2" s="1"/>
  <c r="K184" i="2"/>
  <c r="M184" i="2" s="1"/>
  <c r="K191" i="2"/>
  <c r="M191" i="2" s="1"/>
  <c r="J6" i="4"/>
  <c r="J9" i="4" s="1"/>
  <c r="I6" i="4"/>
  <c r="I9" i="4" s="1"/>
  <c r="H6" i="4"/>
  <c r="H9" i="4" s="1"/>
  <c r="G6" i="4"/>
  <c r="G9" i="4" s="1"/>
  <c r="N6" i="4"/>
  <c r="N9" i="4" s="1"/>
  <c r="F6" i="4"/>
  <c r="F9" i="4" s="1"/>
  <c r="M6" i="4"/>
  <c r="M9" i="4" s="1"/>
  <c r="E6" i="4"/>
  <c r="E9" i="4" s="1"/>
  <c r="L6" i="4"/>
  <c r="L9" i="4" s="1"/>
  <c r="D6" i="4"/>
  <c r="D9" i="4" s="1"/>
  <c r="K6" i="4"/>
  <c r="K9" i="4" s="1"/>
  <c r="C6" i="4"/>
  <c r="C9" i="4" s="1"/>
  <c r="K56" i="2"/>
  <c r="M56" i="2" s="1"/>
  <c r="K85" i="2"/>
  <c r="M85" i="2" s="1"/>
  <c r="K123" i="2"/>
  <c r="M123" i="2" s="1"/>
  <c r="K202" i="2"/>
  <c r="M202" i="2" s="1"/>
  <c r="K206" i="2"/>
  <c r="M206" i="2" s="1"/>
  <c r="K219" i="2"/>
  <c r="M219" i="2" s="1"/>
  <c r="F70" i="1"/>
  <c r="H70" i="1" s="1"/>
  <c r="J70" i="1" s="1"/>
  <c r="K70" i="1" s="1"/>
  <c r="N82" i="1"/>
  <c r="F97" i="1"/>
  <c r="H97" i="1" s="1"/>
  <c r="J97" i="1" s="1"/>
  <c r="K97" i="1" s="1"/>
  <c r="K23" i="2"/>
  <c r="M23" i="2" s="1"/>
  <c r="M25" i="2"/>
  <c r="K29" i="2"/>
  <c r="M29" i="2" s="1"/>
  <c r="M40" i="2"/>
  <c r="K60" i="2"/>
  <c r="M60" i="2" s="1"/>
  <c r="M62" i="2"/>
  <c r="K66" i="2"/>
  <c r="M66" i="2" s="1"/>
  <c r="M77" i="2"/>
  <c r="K94" i="2"/>
  <c r="M94" i="2" s="1"/>
  <c r="M96" i="2"/>
  <c r="K114" i="2"/>
  <c r="M114" i="2" s="1"/>
  <c r="M210" i="2"/>
  <c r="M214" i="2"/>
  <c r="M216" i="2"/>
  <c r="M217" i="2"/>
  <c r="K6" i="2"/>
  <c r="M6" i="2" s="1"/>
  <c r="K47" i="2"/>
  <c r="M47" i="2" s="1"/>
  <c r="K183" i="2"/>
  <c r="M183" i="2" s="1"/>
  <c r="K5" i="2"/>
  <c r="M5" i="2" s="1"/>
  <c r="K119" i="2"/>
  <c r="M119" i="2" s="1"/>
  <c r="K193" i="2"/>
  <c r="M193" i="2" s="1"/>
  <c r="F64" i="1"/>
  <c r="H64" i="1" s="1"/>
  <c r="J64" i="1" s="1"/>
  <c r="K64" i="1" s="1"/>
  <c r="K4" i="2"/>
  <c r="M4" i="2" s="1"/>
  <c r="M10" i="2"/>
  <c r="K16" i="2"/>
  <c r="M16" i="2" s="1"/>
  <c r="M57" i="2"/>
  <c r="K30" i="2"/>
  <c r="M30" i="2" s="1"/>
  <c r="K43" i="2"/>
  <c r="M43" i="2" s="1"/>
  <c r="K50" i="2"/>
  <c r="M50" i="2" s="1"/>
  <c r="K67" i="2"/>
  <c r="M67" i="2" s="1"/>
  <c r="K78" i="2"/>
  <c r="M78" i="2" s="1"/>
  <c r="K115" i="2"/>
  <c r="M115" i="2" s="1"/>
  <c r="K118" i="2"/>
  <c r="M118" i="2" s="1"/>
  <c r="K201" i="2"/>
  <c r="M201" i="2" s="1"/>
  <c r="K220" i="2"/>
  <c r="M220" i="2" s="1"/>
  <c r="K9" i="2"/>
  <c r="M9" i="2" s="1"/>
  <c r="K38" i="2"/>
  <c r="M38" i="2" s="1"/>
  <c r="K90" i="2"/>
  <c r="M90" i="2" s="1"/>
  <c r="M88" i="2"/>
  <c r="M197" i="2"/>
  <c r="K39" i="2"/>
  <c r="M39" i="2" s="1"/>
  <c r="K46" i="2"/>
  <c r="M46" i="2" s="1"/>
  <c r="K52" i="2"/>
  <c r="M52" i="2" s="1"/>
  <c r="K83" i="2"/>
  <c r="M83" i="2" s="1"/>
  <c r="K80" i="2"/>
  <c r="M80" i="2" s="1"/>
  <c r="K146" i="2"/>
  <c r="M146" i="2" s="1"/>
  <c r="K205" i="2"/>
  <c r="M205" i="2" s="1"/>
  <c r="K27" i="2"/>
  <c r="M27" i="2" s="1"/>
  <c r="K64" i="2"/>
  <c r="M64" i="2" s="1"/>
  <c r="K147" i="2"/>
  <c r="M147" i="2" s="1"/>
  <c r="K125" i="2"/>
  <c r="M125" i="2" s="1"/>
  <c r="X97" i="1"/>
  <c r="N97" i="1"/>
  <c r="K48" i="2"/>
  <c r="M48" i="2" s="1"/>
  <c r="K58" i="2"/>
  <c r="M58" i="2" s="1"/>
  <c r="K86" i="2"/>
  <c r="M86" i="2" s="1"/>
  <c r="K92" i="2"/>
  <c r="M92" i="2" s="1"/>
  <c r="M121" i="2"/>
  <c r="F9" i="1"/>
  <c r="H9" i="1" s="1"/>
  <c r="J9" i="1" s="1"/>
  <c r="K9" i="1" s="1"/>
  <c r="N47" i="1"/>
  <c r="N49" i="1"/>
  <c r="M12" i="2"/>
  <c r="K22" i="2"/>
  <c r="M22" i="2" s="1"/>
  <c r="K35" i="2"/>
  <c r="M35" i="2" s="1"/>
  <c r="K41" i="2"/>
  <c r="M41" i="2" s="1"/>
  <c r="K59" i="2"/>
  <c r="M59" i="2" s="1"/>
  <c r="K72" i="2"/>
  <c r="M72" i="2" s="1"/>
  <c r="K79" i="2"/>
  <c r="M79" i="2" s="1"/>
  <c r="K93" i="2"/>
  <c r="M93" i="2" s="1"/>
  <c r="K112" i="2"/>
  <c r="M112" i="2" s="1"/>
  <c r="K108" i="2"/>
  <c r="M108" i="2" s="1"/>
  <c r="M144" i="2"/>
  <c r="K188" i="2"/>
  <c r="M188" i="2" s="1"/>
  <c r="K215" i="2"/>
  <c r="M215" i="2" s="1"/>
  <c r="F73" i="1"/>
  <c r="H73" i="1" s="1"/>
  <c r="J73" i="1" s="1"/>
  <c r="K73" i="1" s="1"/>
  <c r="K53" i="2"/>
  <c r="M53" i="2" s="1"/>
  <c r="K44" i="2"/>
  <c r="M44" i="2" s="1"/>
  <c r="M185" i="2"/>
  <c r="J58" i="1"/>
  <c r="K58" i="1" s="1"/>
  <c r="K31" i="2"/>
  <c r="M31" i="2" s="1"/>
  <c r="M33" i="2"/>
  <c r="K37" i="2"/>
  <c r="M37" i="2" s="1"/>
  <c r="M49" i="2"/>
  <c r="K68" i="2"/>
  <c r="M68" i="2" s="1"/>
  <c r="M70" i="2"/>
  <c r="K74" i="2"/>
  <c r="M74" i="2" s="1"/>
  <c r="M87" i="2"/>
  <c r="K116" i="2"/>
  <c r="M116" i="2" s="1"/>
  <c r="M110" i="2"/>
  <c r="K101" i="2"/>
  <c r="M101" i="2" s="1"/>
  <c r="K194" i="2"/>
  <c r="M194" i="2" s="1"/>
  <c r="K198" i="2"/>
  <c r="M198" i="2" s="1"/>
  <c r="M13" i="2"/>
  <c r="M143" i="2"/>
  <c r="K212" i="2"/>
  <c r="M212" i="2" s="1"/>
  <c r="M3" i="2"/>
  <c r="M18" i="2"/>
  <c r="M187" i="2"/>
  <c r="M196" i="2"/>
  <c r="M204" i="2"/>
  <c r="M209" i="2"/>
  <c r="K190" i="2"/>
  <c r="M190" i="2" s="1"/>
  <c r="K26" i="2"/>
  <c r="M26" i="2" s="1"/>
  <c r="K34" i="2"/>
  <c r="M34" i="2" s="1"/>
  <c r="K42" i="2"/>
  <c r="M42" i="2" s="1"/>
  <c r="K51" i="2"/>
  <c r="M51" i="2" s="1"/>
  <c r="K63" i="2"/>
  <c r="M63" i="2" s="1"/>
  <c r="K71" i="2"/>
  <c r="M71" i="2" s="1"/>
  <c r="K95" i="2"/>
  <c r="M95" i="2" s="1"/>
  <c r="K89" i="2"/>
  <c r="M89" i="2" s="1"/>
  <c r="K100" i="2"/>
  <c r="M100" i="2" s="1"/>
  <c r="K111" i="2"/>
  <c r="M111" i="2" s="1"/>
  <c r="K109" i="2"/>
  <c r="M109" i="2" s="1"/>
  <c r="K122" i="2"/>
  <c r="M122" i="2" s="1"/>
  <c r="M15" i="2"/>
  <c r="K180" i="2"/>
  <c r="M180" i="2" s="1"/>
  <c r="M182" i="2"/>
  <c r="M192" i="2"/>
  <c r="M200" i="2"/>
  <c r="K208" i="2"/>
  <c r="M208" i="2" s="1"/>
  <c r="K213" i="2"/>
  <c r="M213" i="2" s="1"/>
  <c r="C8" i="4"/>
  <c r="K8" i="4"/>
  <c r="D8" i="4"/>
  <c r="L8" i="4"/>
  <c r="E8" i="4"/>
  <c r="M8" i="4"/>
  <c r="F8" i="4"/>
  <c r="N8" i="4"/>
  <c r="G8" i="4"/>
  <c r="H8" i="4"/>
  <c r="I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PIKey" description="Connection to the 'APIKey' query in the workbook." type="5" refreshedVersion="2" background="1" saveData="1">
    <dbPr connection="Provider=Microsoft.Mashup.OleDb.1;Data Source=$Workbook$;Location=APIKey;Extended Properties=&quot;&quot;" command="SELECT * FROM [APIKey]"/>
  </connection>
  <connection id="2" xr16:uid="{00000000-0015-0000-FFFF-FFFF01000000}" name="Query - DatabaseID" description="Connection to the 'DatabaseID' query in the workbook." type="5" refreshedVersion="2" background="1" saveData="1">
    <dbPr connection="Provider=Microsoft.Mashup.OleDb.1;Data Source=$Workbook$;Location=DatabaseID;Extended Properties=&quot;&quot;" command="SELECT * FROM [DatabaseID]"/>
  </connection>
  <connection id="3" xr16:uid="{00000000-0015-0000-FFFF-FFFF02000000}" name="Query - Query1" description="Connection to the 'Query1' query in the workbook." type="5" refreshedVersion="2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<sst xmlns="http://schemas.openxmlformats.org/spreadsheetml/2006/main" count="2557" uniqueCount="546">
  <si>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</si>
  <si>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</si>
  <si>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</si>
  <si>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</si>
  <si>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</si>
  <si>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</si>
  <si>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</si>
  <si>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</si>
  <si>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</si>
  <si>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</si>
  <si>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</si>
  <si>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</si>
  <si>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</si>
  <si>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</si>
  <si>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</si>
  <si>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</si>
  <si>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</si>
  <si>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</si>
  <si>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</si>
  <si>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</si>
  <si>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</si>
  <si>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</si>
  <si>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</si>
  <si>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</si>
  <si>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</si>
  <si>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</si>
  <si>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</si>
  <si>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</si>
  <si>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</si>
  <si>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</si>
  <si>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</si>
  <si>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</si>
  <si>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</si>
  <si>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</si>
  <si>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</si>
  <si>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</si>
  <si>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</si>
  <si>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</si>
  <si>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</si>
  <si>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</si>
  <si>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</si>
  <si>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</si>
  <si>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</si>
  <si>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</si>
  <si>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</si>
  <si>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</si>
  <si>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</si>
  <si>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</si>
  <si>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</si>
  <si>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</si>
  <si>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</si>
  <si>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</si>
  <si>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</si>
  <si>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</si>
  <si>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</si>
  <si>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</si>
  <si>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</si>
  <si>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</si>
  <si>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</si>
  <si>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</si>
  <si>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</si>
  <si>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</si>
  <si>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</si>
  <si>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</si>
  <si>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</si>
  <si>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</si>
  <si>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</si>
  <si>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</si>
  <si>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</si>
  <si>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</si>
  <si>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</si>
  <si>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</si>
  <si>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</si>
  <si>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</si>
  <si>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</si>
  <si>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</si>
  <si>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</si>
  <si>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</si>
  <si>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</si>
  <si>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</si>
  <si>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</si>
  <si>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</si>
  <si>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</si>
  <si>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</si>
  <si>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</si>
  <si>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</si>
  <si>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</si>
  <si>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</si>
  <si>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</si>
  <si>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</si>
  <si>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</si>
  <si>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</si>
  <si>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</si>
  <si>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</si>
  <si>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</si>
  <si>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</si>
  <si>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</si>
  <si>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</si>
  <si>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</si>
  <si>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</si>
  <si>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</si>
  <si>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</si>
  <si>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</si>
  <si>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</si>
  <si>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</si>
  <si>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</si>
  <si>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</si>
  <si>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</si>
  <si>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</si>
  <si>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</si>
  <si>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</si>
  <si>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</si>
  <si>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</si>
  <si>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</si>
  <si>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</si>
  <si>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</si>
  <si>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</si>
  <si>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</si>
  <si>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</si>
  <si>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</si>
  <si>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</si>
  <si>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</si>
  <si>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</si>
  <si>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</si>
  <si>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</si>
  <si>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</si>
  <si>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</si>
  <si>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</si>
  <si>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</si>
  <si>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</si>
  <si>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</si>
  <si>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</si>
  <si>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</si>
  <si>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</si>
  <si>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</si>
  <si>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</si>
  <si>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</si>
  <si>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</si>
  <si>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</si>
  <si>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</si>
  <si>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</si>
  <si>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</si>
  <si>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</si>
  <si>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</si>
  <si>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</si>
  <si>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</si>
  <si>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</si>
  <si>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</si>
  <si>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</si>
  <si>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</si>
  <si>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</si>
  <si>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</si>
  <si>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</si>
  <si>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</si>
  <si>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</si>
  <si>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</si>
  <si>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</si>
  <si>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</si>
  <si>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</si>
  <si>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</si>
  <si>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</si>
  <si>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</si>
  <si>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</si>
  <si>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</si>
  <si>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</si>
  <si>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</si>
  <si>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</si>
  <si>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</si>
  <si>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</si>
  <si>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</si>
  <si>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</si>
  <si>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</si>
  <si>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</si>
  <si>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</si>
  <si>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</si>
  <si>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</si>
  <si>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</si>
  <si>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</si>
  <si>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</si>
  <si>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</si>
  <si>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</si>
  <si>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</si>
  <si>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</si>
  <si>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</si>
  <si>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</si>
  <si>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</si>
  <si>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</si>
  <si>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</si>
  <si>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</si>
  <si>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</si>
  <si>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</si>
  <si>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</si>
  <si>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</si>
  <si>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</si>
  <si>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</si>
  <si>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</si>
  <si>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</si>
  <si>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</si>
  <si>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</si>
  <si>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</si>
  <si>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</si>
  <si>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</si>
  <si>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</si>
  <si>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</si>
  <si>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</si>
  <si>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</si>
  <si>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</si>
  <si>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</si>
  <si>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</si>
  <si>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</si>
  <si>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</si>
  <si>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</si>
  <si>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</si>
  <si>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</si>
  <si>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</si>
  <si>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</si>
  <si>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</si>
  <si>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</si>
  <si>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</si>
  <si>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</si>
  <si>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</si>
  <si>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</si>
  <si>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</si>
  <si>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</si>
  <si>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</si>
  <si>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</si>
  <si>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</si>
  <si>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</si>
  <si>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</si>
  <si>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</si>
  <si>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</si>
  <si>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</si>
  <si>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</si>
  <si>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</si>
  <si>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</si>
  <si>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</si>
  <si>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</si>
  <si>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</si>
  <si>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</si>
  <si>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</si>
  <si>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</si>
  <si>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</si>
  <si>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</si>
  <si>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</si>
  <si>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</si>
  <si>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</si>
  <si>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</si>
  <si>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</si>
  <si>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</si>
  <si>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</si>
  <si>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</si>
  <si>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</si>
  <si>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</si>
  <si>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</si>
  <si>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</si>
  <si>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</si>
  <si>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</si>
  <si>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</si>
  <si>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</si>
  <si>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</si>
  <si>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</si>
  <si>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</si>
  <si>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</si>
  <si>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</si>
  <si>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</si>
  <si>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</si>
  <si>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</si>
  <si>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</si>
  <si>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</si>
  <si>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</si>
  <si>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</si>
  <si>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</si>
  <si>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</si>
  <si>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</si>
  <si>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</si>
  <si>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</si>
  <si>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</si>
  <si>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</si>
  <si>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</si>
  <si>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</si>
  <si>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</si>
  <si>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</si>
  <si>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</si>
  <si>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</si>
  <si>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</si>
  <si>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</si>
  <si>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</si>
  <si>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</si>
  <si>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</si>
  <si>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</si>
  <si>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</si>
  <si>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</si>
  <si>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</si>
  <si>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</si>
  <si>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</si>
  <si>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</si>
  <si>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</si>
  <si>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</si>
  <si>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</si>
  <si>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</si>
  <si>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</si>
  <si>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</si>
  <si>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</si>
  <si>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</si>
  <si>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</si>
  <si>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</si>
  <si>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</si>
  <si>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</si>
  <si>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</si>
  <si>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</si>
  <si>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</si>
  <si>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</si>
  <si>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</si>
  <si>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</si>
  <si>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</si>
  <si>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</si>
  <si>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</si>
  <si>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</si>
  <si>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</si>
  <si>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</si>
  <si>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</si>
  <si>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</si>
  <si>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</si>
  <si>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</si>
  <si>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</si>
  <si>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</si>
  <si>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</si>
  <si>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</si>
  <si>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</si>
  <si>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</si>
  <si>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</si>
  <si>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</si>
  <si>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</si>
  <si>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</si>
  <si>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</si>
  <si>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</si>
  <si>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</si>
  <si>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</si>
  <si>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</si>
  <si>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</si>
  <si>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</si>
  <si>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</si>
  <si>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</si>
  <si>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</si>
  <si>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</si>
  <si>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</si>
  <si>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</si>
  <si>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</si>
  <si>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</si>
  <si>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</si>
  <si>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</si>
  <si>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</si>
  <si>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</si>
  <si>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</si>
  <si>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</si>
  <si>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</si>
  <si>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</si>
  <si>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</si>
  <si>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</si>
  <si>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</si>
  <si>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</si>
  <si>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</si>
  <si>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</si>
  <si>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</si>
  <si>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</si>
  <si>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</si>
  <si>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</si>
  <si>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</si>
  <si>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</si>
  <si>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</si>
  <si>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</si>
  <si>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</si>
  <si>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</si>
  <si>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</si>
  <si>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</si>
  <si>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</si>
  <si>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</si>
  <si>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</si>
  <si>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</si>
  <si>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</si>
  <si>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</si>
  <si>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</si>
  <si>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</si>
  <si>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</si>
  <si>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</si>
  <si>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</si>
  <si>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</si>
  <si>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</si>
  <si>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</si>
  <si>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</si>
  <si>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</si>
  <si>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</si>
  <si>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</si>
  <si>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</si>
  <si>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</si>
  <si>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</si>
  <si>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</si>
  <si>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</si>
  <si>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</si>
  <si>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</si>
  <si>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</si>
  <si>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</si>
  <si>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</si>
  <si>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</si>
  <si>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</si>
  <si>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</si>
  <si>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</si>
  <si>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</si>
  <si>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</si>
  <si>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</si>
  <si>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</si>
  <si>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</si>
  <si>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</si>
  <si>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</si>
  <si>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</si>
  <si>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</si>
  <si>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</si>
  <si>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</si>
  <si>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</si>
  <si>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</si>
  <si>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</si>
  <si>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</si>
  <si>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</si>
  <si>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</si>
  <si>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</si>
  <si>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</si>
  <si>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</si>
  <si>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</si>
  <si>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</si>
  <si>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</si>
  <si>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</si>
  <si>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</si>
  <si>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</si>
  <si>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</si>
  <si>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</si>
  <si>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</si>
  <si>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</si>
  <si>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</si>
  <si>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</si>
  <si>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</si>
  <si>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</si>
  <si>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</si>
  <si>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</si>
  <si>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</si>
  <si>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</si>
  <si>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</si>
  <si>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</si>
  <si>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</si>
  <si>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</si>
  <si>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</si>
  <si>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</si>
  <si>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</si>
  <si>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</si>
  <si>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</si>
  <si>
    <t>LAILA SAID NASSER</t>
  </si>
  <si>
    <t>New insured</t>
  </si>
  <si>
    <t>RWIYEREKA USANASE</t>
  </si>
  <si>
    <t>ASG Foundation</t>
  </si>
  <si>
    <t>MUCYO IRENE</t>
  </si>
  <si>
    <t>GASMETH ENERGY Ltd</t>
  </si>
  <si>
    <t>Zion insurance Broker</t>
  </si>
  <si>
    <t>NORSKEN POOL AK (KAMBANDA DAMIEN)</t>
  </si>
  <si>
    <t>Balliistic Burgers Ltd</t>
  </si>
  <si>
    <t>Renewal insured</t>
  </si>
  <si>
    <t>KEYRUS RWANDA LTD</t>
  </si>
  <si>
    <t>CERTITUDE ENGINEERING Ltd</t>
  </si>
  <si>
    <t>DJASMINE TETA</t>
  </si>
  <si>
    <t>ENS AFRICA</t>
  </si>
  <si>
    <t>SADAF MEDICAL SUPPLIES LTD</t>
  </si>
  <si>
    <t>Bishosi &amp; Frank</t>
  </si>
  <si>
    <t>Comzafrica Rwanda Limited</t>
  </si>
  <si>
    <t>2024-0820</t>
  </si>
  <si>
    <t>KARANGANWA SONIA</t>
  </si>
  <si>
    <t>CENTER FOR DEVELOPMENT POLICY (CDP)</t>
  </si>
  <si>
    <t>MUGANGA SACCO</t>
  </si>
  <si>
    <t>TRINITY LAWYERS LTD</t>
  </si>
  <si>
    <t>ZIPLINE INTERNATIONAL INC</t>
  </si>
  <si>
    <t>KAGARA PHILLIP</t>
  </si>
  <si>
    <t>GERMAIN RUGWABIZA</t>
  </si>
  <si>
    <t>LAOPROJEKT</t>
  </si>
  <si>
    <t>KARANGWA ARISTIDE</t>
  </si>
  <si>
    <t>Nzahabwanimana Innocent(M+4)</t>
  </si>
  <si>
    <t>20/06/2025</t>
  </si>
  <si>
    <t>Ishimwe Doreen Kamikazi (M)</t>
  </si>
  <si>
    <t>Gabirwa Gaba Edwin</t>
  </si>
  <si>
    <t>30/09/2025</t>
  </si>
  <si>
    <t>Ntawuyirusha Aloys(M+3)</t>
  </si>
  <si>
    <t>Mizambo Crepin</t>
  </si>
  <si>
    <t>Davis Ryan Cyubahiro</t>
  </si>
  <si>
    <t>27/04/2025</t>
  </si>
  <si>
    <t>Archie Pharell Mizero Ishimwe Randa</t>
  </si>
  <si>
    <t>Ivan Kalisa(M+2)</t>
  </si>
  <si>
    <t>15/07/2025</t>
  </si>
  <si>
    <t>Bertin TUYISHIME(M)</t>
  </si>
  <si>
    <t>Aime Fidele IRADUKUNDA(M)</t>
  </si>
  <si>
    <t>Uwamahoro Justine</t>
  </si>
  <si>
    <t>30/10/2025</t>
  </si>
  <si>
    <t>BAGABO Frank (M+4)</t>
  </si>
  <si>
    <t>13/02/2025</t>
  </si>
  <si>
    <t>MIZERO Moise (M)</t>
  </si>
  <si>
    <t>OGS</t>
  </si>
  <si>
    <t>Murwanashyaka Manaseh(M+7)</t>
  </si>
  <si>
    <t>Gena Sieva Christa Love</t>
  </si>
  <si>
    <t>Pierre Mutuyemungu</t>
  </si>
  <si>
    <t>DIAN FOSSEY GORILLA FUND INTERNATIONAL</t>
  </si>
  <si>
    <t>Marie Rose Umuhoza</t>
  </si>
  <si>
    <t>31/10/2025</t>
  </si>
  <si>
    <t>Umugwaneza Cynthia</t>
  </si>
  <si>
    <t>Carine Uwamahoro</t>
  </si>
  <si>
    <t>Pelorine Umudahogora</t>
  </si>
  <si>
    <t>Kylie Ishimwe Gwiza</t>
  </si>
  <si>
    <t>Tona Abriella Umulinga Kamanzi</t>
  </si>
  <si>
    <t>Charles Kamanzi</t>
  </si>
  <si>
    <t>Imenza Gwiza Beulah</t>
  </si>
  <si>
    <t>Samantha Gitego Kizito (M)</t>
  </si>
  <si>
    <t>31/05/2025</t>
  </si>
  <si>
    <t>Munezero Eric(m)</t>
  </si>
  <si>
    <t>19/05/2025</t>
  </si>
  <si>
    <t>Valentine Dushiminana</t>
  </si>
  <si>
    <t>Aime Pacis Irakoze</t>
  </si>
  <si>
    <t>Nteranyi Cirinda Koko</t>
  </si>
  <si>
    <t>NORSKEN POOL AB(MUTESI SARAH)</t>
  </si>
  <si>
    <t>Uwase Precious</t>
  </si>
  <si>
    <t>21/07/2025</t>
  </si>
  <si>
    <t>Mutesi Yvonne</t>
  </si>
  <si>
    <t>Rutagarama Jean Claude(m)</t>
  </si>
  <si>
    <t>Akingeneye Eric (m)</t>
  </si>
  <si>
    <t>Ahame Geno Abriel Nolan</t>
  </si>
  <si>
    <t>21/02/2025</t>
  </si>
  <si>
    <t>Sibomana Patrick's dependents</t>
  </si>
  <si>
    <t>PRIME BIODIVERSITY CONSERVATION</t>
  </si>
  <si>
    <t>Mugabo Kaliza Kenza</t>
  </si>
  <si>
    <t>SHARON UMUTONI'S SPOUSE</t>
  </si>
  <si>
    <t>Innocent Ihinda Ninsiima(M)</t>
  </si>
  <si>
    <t>Frederic Ngendahimana(M+3)</t>
  </si>
  <si>
    <t>Felix Uriho(M)</t>
  </si>
  <si>
    <t>Ndayisabye Patrick(M+1)</t>
  </si>
  <si>
    <t>Claude Uwimana(M) to (M+2)</t>
  </si>
  <si>
    <t>Eric Majyambere(M)</t>
  </si>
  <si>
    <t>Nadine Izabayo(M)</t>
  </si>
  <si>
    <t>Humura Lise Kuzara</t>
  </si>
  <si>
    <t>23/10/2024</t>
  </si>
  <si>
    <t>Kezah Kayitesi(M)</t>
  </si>
  <si>
    <t>Nzeyimana assoumani(M+5)</t>
  </si>
  <si>
    <t>Munyensanga Daniel(M+3)</t>
  </si>
  <si>
    <t>Uwitonze Safi Alfred(M+4)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</si>
</sst>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 #\ ###\ ###"/>
    <numFmt numFmtId="165" formatCode="m/d/yyyy;@"/>
    <numFmt numFmtId="166" formatCode="_(* #,##0_);_(* \(#,##0\);_(* &quot;-&quot;??_);_(@_)"/>
    <numFmt numFmtId="167" formatCode="dd/mm/yyyy"/>
    <numFmt numFmtId="168" formatCode="0.00_);[Red]\(0.00\)"/>
    <numFmt numFmtId="169" formatCode="yyyy\-mm\-dd"/>
  </numFmts>
  <fonts count="1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  <font>
      <sz val="11"/>
      <color rgb="FF000000"/>
      <name val="Century Gothic"/>
      <family val="2"/>
    </font>
    <font>
      <sz val="11"/>
      <color rgb="FF000000"/>
      <name val="&quot;Century Gothic&quot;"/>
      <charset val="134"/>
    </font>
    <font>
      <sz val="11"/>
      <color rgb="FFFF0000"/>
      <name val="Century Gothic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64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14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65" fontId="0" fillId="0" borderId="0" xfId="0" applyNumberFormat="1"/>
    <xf numFmtId="0" fontId="4" fillId="2" borderId="10" xfId="0" applyFont="1" applyFill="1" applyBorder="1" applyAlignment="1">
      <alignment vertical="center"/>
    </xf>
    <xf numFmtId="165" fontId="4" fillId="2" borderId="10" xfId="0" applyNumberFormat="1" applyFont="1" applyFill="1" applyBorder="1" applyAlignment="1">
      <alignment vertical="center"/>
    </xf>
    <xf numFmtId="166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65" fontId="5" fillId="3" borderId="10" xfId="0" applyNumberFormat="1" applyFont="1" applyFill="1" applyBorder="1"/>
    <xf numFmtId="167" fontId="5" fillId="3" borderId="10" xfId="0" applyNumberFormat="1" applyFont="1" applyFill="1" applyBorder="1"/>
    <xf numFmtId="166" fontId="5" fillId="3" borderId="10" xfId="0" applyNumberFormat="1" applyFont="1" applyFill="1" applyBorder="1"/>
    <xf numFmtId="166" fontId="4" fillId="2" borderId="11" xfId="0" applyNumberFormat="1" applyFont="1" applyFill="1" applyBorder="1" applyAlignment="1">
      <alignment vertical="center"/>
    </xf>
    <xf numFmtId="166" fontId="5" fillId="0" borderId="10" xfId="0" applyNumberFormat="1" applyFont="1" applyBorder="1"/>
    <xf numFmtId="166" fontId="6" fillId="0" borderId="0" xfId="0" applyNumberFormat="1" applyFont="1"/>
    <xf numFmtId="0" fontId="9" fillId="0" borderId="10" xfId="0" applyFont="1" applyBorder="1"/>
    <xf numFmtId="165" fontId="9" fillId="3" borderId="10" xfId="0" applyNumberFormat="1" applyFont="1" applyFill="1" applyBorder="1"/>
    <xf numFmtId="167" fontId="9" fillId="3" borderId="10" xfId="0" applyNumberFormat="1" applyFont="1" applyFill="1" applyBorder="1"/>
    <xf numFmtId="166" fontId="9" fillId="3" borderId="10" xfId="0" applyNumberFormat="1" applyFont="1" applyFill="1" applyBorder="1"/>
    <xf numFmtId="0" fontId="10" fillId="0" borderId="12" xfId="0" applyFont="1" applyBorder="1"/>
    <xf numFmtId="167" fontId="10" fillId="4" borderId="13" xfId="0" applyNumberFormat="1" applyFont="1" applyFill="1" applyBorder="1" applyAlignment="1">
      <alignment horizontal="right"/>
    </xf>
    <xf numFmtId="166" fontId="10" fillId="4" borderId="12" xfId="0" applyNumberFormat="1" applyFont="1" applyFill="1" applyBorder="1"/>
    <xf numFmtId="165" fontId="10" fillId="4" borderId="12" xfId="0" applyNumberFormat="1" applyFont="1" applyFill="1" applyBorder="1" applyAlignment="1">
      <alignment horizontal="right"/>
    </xf>
    <xf numFmtId="166" fontId="9" fillId="0" borderId="10" xfId="0" applyNumberFormat="1" applyFont="1" applyBorder="1"/>
    <xf numFmtId="166" fontId="10" fillId="0" borderId="10" xfId="0" applyNumberFormat="1" applyFont="1" applyBorder="1"/>
    <xf numFmtId="166" fontId="10" fillId="0" borderId="12" xfId="0" applyNumberFormat="1" applyFont="1" applyBorder="1"/>
    <xf numFmtId="166" fontId="10" fillId="0" borderId="13" xfId="0" applyNumberFormat="1" applyFont="1" applyBorder="1"/>
    <xf numFmtId="167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66" fontId="11" fillId="0" borderId="10" xfId="0" applyNumberFormat="1" applyFont="1" applyBorder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66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68" fontId="0" fillId="0" borderId="0" xfId="0" applyNumberFormat="1"/>
    <xf numFmtId="14" fontId="0" fillId="0" borderId="0" xfId="0" applyNumberFormat="1"/>
    <xf numFmtId="166" fontId="4" fillId="2" borderId="9" xfId="0" applyNumberFormat="1" applyFont="1" applyFill="1" applyBorder="1" applyAlignment="1">
      <alignment vertical="center"/>
    </xf>
    <xf numFmtId="14" fontId="4" fillId="2" borderId="9" xfId="0" applyNumberFormat="1" applyFont="1" applyFill="1" applyBorder="1" applyAlignment="1">
      <alignment vertical="center"/>
    </xf>
    <xf numFmtId="0" fontId="0" fillId="0" borderId="9" xfId="0" applyBorder="1"/>
    <xf numFmtId="166" fontId="5" fillId="0" borderId="9" xfId="0" applyNumberFormat="1" applyFont="1" applyBorder="1"/>
    <xf numFmtId="166" fontId="5" fillId="0" borderId="9" xfId="1" applyNumberFormat="1" applyFont="1" applyBorder="1"/>
    <xf numFmtId="166" fontId="5" fillId="0" borderId="9" xfId="1" applyNumberFormat="1" applyFont="1" applyFill="1" applyBorder="1"/>
    <xf numFmtId="0" fontId="10" fillId="0" borderId="9" xfId="0" applyFont="1" applyBorder="1"/>
    <xf numFmtId="168" fontId="4" fillId="2" borderId="9" xfId="0" applyNumberFormat="1" applyFont="1" applyFill="1" applyBorder="1" applyAlignment="1">
      <alignment vertical="center"/>
    </xf>
    <xf numFmtId="165" fontId="4" fillId="2" borderId="9" xfId="0" applyNumberFormat="1" applyFont="1" applyFill="1" applyBorder="1" applyAlignment="1">
      <alignment vertical="center"/>
    </xf>
    <xf numFmtId="168" fontId="5" fillId="0" borderId="9" xfId="0" applyNumberFormat="1" applyFont="1" applyBorder="1"/>
    <xf numFmtId="165" fontId="5" fillId="0" borderId="9" xfId="0" applyNumberFormat="1" applyFont="1" applyBorder="1"/>
    <xf numFmtId="14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169" fontId="4" fillId="2" borderId="9" xfId="0" applyNumberFormat="1" applyFont="1" applyFill="1" applyBorder="1" applyAlignment="1">
      <alignment vertical="center"/>
    </xf>
    <xf numFmtId="169" fontId="5" fillId="0" borderId="9" xfId="0" applyNumberFormat="1" applyFont="1" applyBorder="1"/>
    <xf numFmtId="0" fontId="5" fillId="0" borderId="9" xfId="1" applyNumberFormat="1" applyFont="1" applyBorder="1"/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66" fontId="10" fillId="0" borderId="9" xfId="0" applyNumberFormat="1" applyFont="1" applyBorder="1"/>
    <xf numFmtId="165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8" fontId="10" fillId="0" borderId="9" xfId="0" applyNumberFormat="1" applyFont="1" applyBorder="1"/>
    <xf numFmtId="169" fontId="10" fillId="0" borderId="9" xfId="0" applyNumberFormat="1" applyFont="1" applyBorder="1" applyAlignment="1">
      <alignment horizontal="right"/>
    </xf>
    <xf numFmtId="169" fontId="10" fillId="0" borderId="0" xfId="0" applyNumberFormat="1" applyFont="1" applyAlignment="1">
      <alignment horizontal="right"/>
    </xf>
    <xf numFmtId="0" fontId="12" fillId="5" borderId="0" xfId="0" applyFont="1" applyFill="1" applyAlignment="1">
      <alignment vertical="center" wrapText="1"/>
    </xf>
    <xf numFmtId="169" fontId="5" fillId="0" borderId="0" xfId="0" applyNumberFormat="1" applyFont="1"/>
    <xf numFmtId="0" fontId="0" fillId="0" borderId="15" xfId="0" applyBorder="1"/>
    <xf numFmtId="0" fontId="0" fillId="0" borderId="16" xfId="0" applyBorder="1"/>
    <xf numFmtId="0" fontId="5" fillId="0" borderId="0" xfId="0" applyFont="1" applyBorder="1"/>
    <xf numFmtId="0" fontId="10" fillId="0" borderId="0" xfId="0" applyFont="1" applyBorder="1"/>
    <xf numFmtId="0" fontId="12" fillId="5" borderId="0" xfId="0" applyFont="1" applyFill="1" applyBorder="1" applyAlignment="1">
      <alignment vertical="center" wrapText="1"/>
    </xf>
    <xf numFmtId="169" fontId="10" fillId="0" borderId="0" xfId="0" applyNumberFormat="1" applyFont="1" applyBorder="1" applyAlignment="1">
      <alignment horizontal="right"/>
    </xf>
    <xf numFmtId="169" fontId="5" fillId="0" borderId="0" xfId="0" applyNumberFormat="1" applyFont="1" applyBorder="1"/>
    <xf numFmtId="0" fontId="6" fillId="0" borderId="0" xfId="0" applyFont="1" applyBorder="1"/>
    <xf numFmtId="0" fontId="10" fillId="0" borderId="10" xfId="0" applyFont="1" applyBorder="1"/>
    <xf numFmtId="0" fontId="5" fillId="0" borderId="12" xfId="0" applyFont="1" applyBorder="1"/>
    <xf numFmtId="165" fontId="10" fillId="4" borderId="10" xfId="0" applyNumberFormat="1" applyFont="1" applyFill="1" applyBorder="1" applyAlignment="1">
      <alignment horizontal="right"/>
    </xf>
    <xf numFmtId="165" fontId="5" fillId="3" borderId="12" xfId="0" applyNumberFormat="1" applyFont="1" applyFill="1" applyBorder="1"/>
    <xf numFmtId="167" fontId="10" fillId="4" borderId="10" xfId="0" applyNumberFormat="1" applyFont="1" applyFill="1" applyBorder="1" applyAlignment="1">
      <alignment horizontal="right"/>
    </xf>
    <xf numFmtId="167" fontId="5" fillId="3" borderId="13" xfId="0" applyNumberFormat="1" applyFont="1" applyFill="1" applyBorder="1"/>
    <xf numFmtId="166" fontId="10" fillId="4" borderId="10" xfId="0" applyNumberFormat="1" applyFont="1" applyFill="1" applyBorder="1"/>
    <xf numFmtId="166" fontId="5" fillId="3" borderId="12" xfId="0" applyNumberFormat="1" applyFont="1" applyFill="1" applyBorder="1"/>
    <xf numFmtId="166" fontId="5" fillId="0" borderId="12" xfId="0" applyNumberFormat="1" applyFont="1" applyBorder="1"/>
    <xf numFmtId="166" fontId="5" fillId="0" borderId="13" xfId="0" applyNumberFormat="1" applyFont="1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0000000}" autoFormatId="16" applyNumberFormats="0" applyBorderFormats="0" applyFontFormats="1" applyPatternFormats="1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ry1" displayName="Query1" ref="A1:A2" tableType="queryTable" totalsRowShown="0">
  <autoFilter ref="A1:A2" xr:uid="{00000000-0009-0000-0100-000001000000}"/>
  <tableColumns count="1">
    <tableColumn id="1" xr3:uid="{00000000-0010-0000-0000-000001000000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3"/>
  <sheetViews>
    <sheetView tabSelected="1" workbookViewId="0">
      <pane ySplit="2" topLeftCell="A124" activePane="bottomLeft" state="frozen"/>
      <selection pane="bottomLeft" activeCell="D126" sqref="D126:D150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style="54" customWidth="1"/>
    <col min="14" max="14" width="17.140625" customWidth="1"/>
    <col min="15" max="15" width="16.28515625" style="23" customWidth="1"/>
    <col min="16" max="16" width="12.140625" style="55" customWidth="1"/>
    <col min="17" max="17" width="19.28515625" customWidth="1"/>
    <col min="18" max="18" width="13.42578125" customWidth="1"/>
    <col min="19" max="19" width="10" customWidth="1"/>
    <col min="20" max="22" width="26.85546875" customWidth="1"/>
    <col min="23" max="23" width="24.28515625" customWidth="1"/>
    <col min="24" max="24" width="26" customWidth="1"/>
    <col min="25" max="29" width="8.7109375" customWidth="1"/>
  </cols>
  <sheetData>
    <row r="1" spans="1:29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56" t="s">
        <v>4</v>
      </c>
      <c r="F1" s="56" t="s">
        <v>5</v>
      </c>
      <c r="G1" s="17" t="s">
        <v>6</v>
      </c>
      <c r="H1" s="57" t="s">
        <v>7</v>
      </c>
      <c r="I1" s="57" t="s">
        <v>8</v>
      </c>
      <c r="J1" s="56" t="s">
        <v>9</v>
      </c>
      <c r="K1" s="56" t="s">
        <v>10</v>
      </c>
      <c r="L1" s="17" t="s">
        <v>11</v>
      </c>
      <c r="M1" s="63" t="s">
        <v>12</v>
      </c>
      <c r="N1" s="17" t="s">
        <v>13</v>
      </c>
      <c r="O1" s="64" t="s">
        <v>14</v>
      </c>
      <c r="P1" s="5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3" t="s">
        <v>22</v>
      </c>
      <c r="X1" s="17" t="s">
        <v>23</v>
      </c>
      <c r="Y1" s="76" t="s">
        <v>24</v>
      </c>
    </row>
    <row r="2" spans="1:29" ht="21" customHeight="1">
      <c r="A2" s="18" t="s">
        <v>25</v>
      </c>
      <c r="B2" s="18" t="s">
        <v>26</v>
      </c>
      <c r="C2" s="58" t="s">
        <v>27</v>
      </c>
      <c r="D2" s="58" t="s">
        <v>27</v>
      </c>
      <c r="E2" s="59">
        <v>2519484</v>
      </c>
      <c r="F2" s="59">
        <f t="shared" ref="F2" si="0">E2*5%</f>
        <v>125974.20000000001</v>
      </c>
      <c r="G2" s="59">
        <v>70000</v>
      </c>
      <c r="H2" s="59">
        <f t="shared" ref="H2" si="1">SUM(E2:G2)</f>
        <v>2715458.2</v>
      </c>
      <c r="I2" s="59">
        <v>0</v>
      </c>
      <c r="J2" s="59">
        <f>SUM(H2:I2)</f>
        <v>2715458.2</v>
      </c>
      <c r="K2" s="59">
        <f t="shared" ref="K2" si="2">J2/L2</f>
        <v>678864.55</v>
      </c>
      <c r="L2" s="18">
        <v>4</v>
      </c>
      <c r="M2" s="65">
        <v>3</v>
      </c>
      <c r="N2" s="18">
        <f>SUM(L2:M2)</f>
        <v>7</v>
      </c>
      <c r="O2" s="66">
        <v>45292</v>
      </c>
      <c r="P2" s="67">
        <v>46022</v>
      </c>
      <c r="Q2" s="18" t="str">
        <f t="shared" ref="Q2" si="3">TEXT(O2,"mmmm")</f>
        <v>January</v>
      </c>
      <c r="R2" s="18">
        <f t="shared" ref="R2" si="4">YEAR(O2)</f>
        <v>2024</v>
      </c>
      <c r="S2" s="18" t="s">
        <v>28</v>
      </c>
      <c r="T2" s="18" t="s">
        <v>29</v>
      </c>
      <c r="U2" s="18" t="s">
        <v>30</v>
      </c>
      <c r="V2" s="51" t="s">
        <v>31</v>
      </c>
      <c r="W2" s="74">
        <v>45278</v>
      </c>
      <c r="X2" s="58">
        <f>ROUND(M2/L2,2)</f>
        <v>0.75</v>
      </c>
      <c r="Y2" t="str">
        <f t="shared" ref="Y2" si="5">IF(L2&lt;=29,"Hares",IF(L2&lt;=99,"Tigers",IF(L2&lt;=499,"Elephants","Whales")))</f>
        <v>Hares</v>
      </c>
    </row>
    <row r="3" spans="1:29" ht="16.5">
      <c r="A3" s="18" t="s">
        <v>32</v>
      </c>
      <c r="B3" s="18" t="s">
        <v>26</v>
      </c>
      <c r="C3" s="60" t="s">
        <v>27</v>
      </c>
      <c r="D3" s="60" t="s">
        <v>27</v>
      </c>
      <c r="E3" s="60">
        <v>22496088</v>
      </c>
      <c r="F3" s="60">
        <f>E3*5%</f>
        <v>1124804.4000000001</v>
      </c>
      <c r="G3" s="60">
        <f>5000*57</f>
        <v>285000</v>
      </c>
      <c r="H3" s="61">
        <f>SUM(E3:G3)</f>
        <v>23905892.399999999</v>
      </c>
      <c r="I3" s="60">
        <v>0</v>
      </c>
      <c r="J3" s="61">
        <f>SUM(G3:H3)</f>
        <v>24190892.399999999</v>
      </c>
      <c r="K3" s="61">
        <f>J3/L3</f>
        <v>780351.36774193542</v>
      </c>
      <c r="L3" s="18">
        <v>31</v>
      </c>
      <c r="M3" s="65">
        <f>N3-L3</f>
        <v>17</v>
      </c>
      <c r="N3" s="18">
        <v>48</v>
      </c>
      <c r="O3" s="66">
        <v>44971</v>
      </c>
      <c r="P3" s="67">
        <v>45335</v>
      </c>
      <c r="Q3" s="60" t="str">
        <f>TEXT(O3,"mmmm")</f>
        <v>February</v>
      </c>
      <c r="R3" s="75">
        <f>YEAR(O3)</f>
        <v>2023</v>
      </c>
      <c r="S3" s="18" t="s">
        <v>28</v>
      </c>
      <c r="T3" s="18"/>
      <c r="U3" s="18"/>
      <c r="V3" s="18"/>
      <c r="W3" s="18"/>
      <c r="X3" s="77">
        <f>M3/L3</f>
        <v>0.54838709677419351</v>
      </c>
      <c r="Y3" t="str">
        <f>IF(L3&lt;=29,"Hares",IF(L3&lt;=99,"Tigers",IF(L3&lt;=499,"Elephants","Whales")))</f>
        <v>Tigers</v>
      </c>
    </row>
    <row r="4" spans="1:29" ht="16.5">
      <c r="A4" s="18" t="s">
        <v>33</v>
      </c>
      <c r="B4" s="18" t="s">
        <v>26</v>
      </c>
      <c r="C4" s="60" t="s">
        <v>27</v>
      </c>
      <c r="D4" s="60" t="s">
        <v>27</v>
      </c>
      <c r="E4" s="60">
        <v>8621293</v>
      </c>
      <c r="F4" s="60">
        <f>E4*5%</f>
        <v>431064.65</v>
      </c>
      <c r="G4" s="60">
        <v>480000</v>
      </c>
      <c r="H4" s="61">
        <f>SUM(E4:G4)</f>
        <v>9532357.6500000004</v>
      </c>
      <c r="I4" s="60">
        <v>0</v>
      </c>
      <c r="J4" s="61">
        <f>SUM(G4:H4)</f>
        <v>10012357.65</v>
      </c>
      <c r="K4" s="61">
        <f>J4/L4</f>
        <v>208590.78437500002</v>
      </c>
      <c r="L4" s="18">
        <v>48</v>
      </c>
      <c r="M4" s="65">
        <f>N4-L4</f>
        <v>0</v>
      </c>
      <c r="N4" s="18">
        <v>48</v>
      </c>
      <c r="O4" s="66">
        <v>44987</v>
      </c>
      <c r="P4" s="67">
        <v>45077</v>
      </c>
      <c r="Q4" s="60" t="str">
        <f>TEXT(O4,"mmmm")</f>
        <v>March</v>
      </c>
      <c r="R4" s="75">
        <f>YEAR(O4)</f>
        <v>2023</v>
      </c>
      <c r="S4" s="18" t="s">
        <v>34</v>
      </c>
      <c r="T4" s="18"/>
      <c r="U4" s="18"/>
      <c r="V4" s="18"/>
      <c r="W4" s="18"/>
      <c r="X4" s="77">
        <f>M4/L4</f>
        <v>0</v>
      </c>
      <c r="Y4" t="str">
        <f>IF(L4&lt;=29,"Hares",IF(L4&lt;=99,"Tigers",IF(L4&lt;=499,"Elephants","Whales")))</f>
        <v>Tigers</v>
      </c>
    </row>
    <row r="5" spans="1:29" ht="16.5">
      <c r="A5" s="18" t="s">
        <v>35</v>
      </c>
      <c r="B5" s="18" t="s">
        <v>26</v>
      </c>
      <c r="C5" s="60" t="s">
        <v>27</v>
      </c>
      <c r="D5" s="60" t="s">
        <v>27</v>
      </c>
      <c r="E5" s="60">
        <v>40164891.877313599</v>
      </c>
      <c r="F5" s="60">
        <f>E5*5%</f>
        <v>2008244.59386568</v>
      </c>
      <c r="G5" s="60">
        <v>0</v>
      </c>
      <c r="H5" s="61">
        <f>SUM(E5:G5)</f>
        <v>42173136.471179277</v>
      </c>
      <c r="I5" s="60">
        <v>0</v>
      </c>
      <c r="J5" s="61">
        <f>SUM(G5:H5)</f>
        <v>42173136.471179277</v>
      </c>
      <c r="K5" s="61">
        <f>J5/L5</f>
        <v>980770.61560882034</v>
      </c>
      <c r="L5" s="18">
        <v>43</v>
      </c>
      <c r="M5" s="65">
        <f>N5-L5</f>
        <v>90</v>
      </c>
      <c r="N5" s="18">
        <v>133</v>
      </c>
      <c r="O5" s="66">
        <v>44992</v>
      </c>
      <c r="P5" s="67">
        <v>45357</v>
      </c>
      <c r="Q5" s="60" t="str">
        <f>TEXT(O5,"mmmm")</f>
        <v>March</v>
      </c>
      <c r="R5" s="75">
        <f>YEAR(O5)</f>
        <v>2023</v>
      </c>
      <c r="S5" s="18" t="s">
        <v>28</v>
      </c>
      <c r="T5" s="18"/>
      <c r="U5" s="18"/>
      <c r="V5" s="18"/>
      <c r="W5" s="18"/>
      <c r="X5" s="77">
        <f>M5/L5</f>
        <v>2.0930232558139537</v>
      </c>
      <c r="Y5" t="str">
        <f>IF(L5&lt;=29,"Hares",IF(L5&lt;=99,"Tigers",IF(L5&lt;=499,"Elephants","Whales")))</f>
        <v>Tigers</v>
      </c>
    </row>
    <row r="6" spans="1:29" ht="16.5">
      <c r="A6" s="18" t="s">
        <v>36</v>
      </c>
      <c r="B6" s="18" t="s">
        <v>26</v>
      </c>
      <c r="C6" s="60" t="s">
        <v>27</v>
      </c>
      <c r="D6" s="60" t="s">
        <v>27</v>
      </c>
      <c r="E6" s="60">
        <v>3790302</v>
      </c>
      <c r="F6" s="60">
        <f>E6*5%</f>
        <v>189515.1</v>
      </c>
      <c r="G6" s="60">
        <v>70000</v>
      </c>
      <c r="H6" s="61">
        <f>SUM(E6:G6)</f>
        <v>4049817.1</v>
      </c>
      <c r="I6" s="60">
        <v>0</v>
      </c>
      <c r="J6" s="61">
        <f>SUM(G6:H6)</f>
        <v>4119817.1</v>
      </c>
      <c r="K6" s="61">
        <f>J6/L6</f>
        <v>1029954.275</v>
      </c>
      <c r="L6" s="18">
        <v>4</v>
      </c>
      <c r="M6" s="65">
        <f>N6-L6</f>
        <v>3</v>
      </c>
      <c r="N6" s="18">
        <v>7</v>
      </c>
      <c r="O6" s="66">
        <v>45013</v>
      </c>
      <c r="P6" s="67">
        <v>45378</v>
      </c>
      <c r="Q6" s="60" t="str">
        <f>TEXT(O6,"mmmm")</f>
        <v>March</v>
      </c>
      <c r="R6" s="75">
        <f>YEAR(O6)</f>
        <v>2023</v>
      </c>
      <c r="S6" s="18" t="s">
        <v>28</v>
      </c>
      <c r="T6" s="18"/>
      <c r="U6" s="18"/>
      <c r="V6" s="18"/>
      <c r="W6" s="18"/>
      <c r="X6" s="77">
        <f>M6/L6</f>
        <v>0.75</v>
      </c>
      <c r="Y6" t="str">
        <f>IF(L6&lt;=29,"Hares",IF(L6&lt;=99,"Tigers",IF(L6&lt;=499,"Elephants","Whales")))</f>
        <v>Hares</v>
      </c>
    </row>
    <row r="7" spans="1:29" ht="16.5">
      <c r="A7" s="18" t="s">
        <v>37</v>
      </c>
      <c r="B7" s="18" t="s">
        <v>38</v>
      </c>
      <c r="C7" s="60" t="s">
        <v>27</v>
      </c>
      <c r="D7" s="60" t="s">
        <v>27</v>
      </c>
      <c r="E7" s="60">
        <f>136125+1949127</f>
        <v>2085252</v>
      </c>
      <c r="F7" s="60">
        <f>E7*5%</f>
        <v>104262.6</v>
      </c>
      <c r="G7" s="60">
        <v>90000</v>
      </c>
      <c r="H7" s="61">
        <f>SUM(E7:G7)</f>
        <v>2279514.6</v>
      </c>
      <c r="I7" s="60">
        <f>288109+3687410</f>
        <v>3975519</v>
      </c>
      <c r="J7" s="61">
        <f>SUM(G7:H7)</f>
        <v>2369514.6</v>
      </c>
      <c r="K7" s="61">
        <f>J7/L7</f>
        <v>148094.66250000001</v>
      </c>
      <c r="L7" s="18">
        <v>16</v>
      </c>
      <c r="M7" s="65">
        <f>N7-L7</f>
        <v>2</v>
      </c>
      <c r="N7" s="18">
        <v>18</v>
      </c>
      <c r="O7" s="66">
        <v>45030</v>
      </c>
      <c r="P7" s="67">
        <v>45395</v>
      </c>
      <c r="Q7" s="60" t="str">
        <f>TEXT(O7,"mmmm")</f>
        <v>April</v>
      </c>
      <c r="R7" s="75">
        <f>YEAR(O7)</f>
        <v>2023</v>
      </c>
      <c r="S7" s="18" t="s">
        <v>28</v>
      </c>
      <c r="T7" s="18"/>
      <c r="U7" s="18"/>
      <c r="V7" s="18"/>
      <c r="W7" s="18"/>
      <c r="X7" s="77">
        <f>M7/L7</f>
        <v>0.125</v>
      </c>
      <c r="Y7" t="str">
        <f>IF(L7&lt;=29,"Hares",IF(L7&lt;=99,"Tigers",IF(L7&lt;=499,"Elephants","Whales")))</f>
        <v>Hares</v>
      </c>
    </row>
    <row r="8" spans="1:29" ht="16.5">
      <c r="A8" s="18" t="s">
        <v>39</v>
      </c>
      <c r="B8" s="18" t="s">
        <v>26</v>
      </c>
      <c r="C8" s="60" t="s">
        <v>27</v>
      </c>
      <c r="D8" s="60" t="s">
        <v>27</v>
      </c>
      <c r="E8" s="60">
        <v>2284973</v>
      </c>
      <c r="F8" s="60">
        <f>E8*5%</f>
        <v>114248.65000000001</v>
      </c>
      <c r="G8" s="60">
        <v>40000</v>
      </c>
      <c r="H8" s="61">
        <f>SUM(E8:G8)</f>
        <v>2439221.65</v>
      </c>
      <c r="I8" s="60">
        <v>0</v>
      </c>
      <c r="J8" s="61">
        <f>SUM(G8:H8)</f>
        <v>2479221.65</v>
      </c>
      <c r="K8" s="61">
        <f>J8/L8</f>
        <v>619805.41249999998</v>
      </c>
      <c r="L8" s="18">
        <v>4</v>
      </c>
      <c r="M8" s="65">
        <f>N8-L8</f>
        <v>0</v>
      </c>
      <c r="N8" s="18">
        <v>4</v>
      </c>
      <c r="O8" s="66">
        <v>45047</v>
      </c>
      <c r="P8" s="67">
        <v>45412</v>
      </c>
      <c r="Q8" s="60" t="str">
        <f>TEXT(O8,"mmmm")</f>
        <v>May</v>
      </c>
      <c r="R8" s="75">
        <f>YEAR(O8)</f>
        <v>2023</v>
      </c>
      <c r="S8" s="18" t="s">
        <v>40</v>
      </c>
      <c r="T8" s="18"/>
      <c r="U8" s="18"/>
      <c r="V8" s="18"/>
      <c r="W8" s="18"/>
      <c r="X8" s="77">
        <f>M8/L8</f>
        <v>0</v>
      </c>
      <c r="Y8" t="str">
        <f>IF(L8&lt;=29,"Hares",IF(L8&lt;=99,"Tigers",IF(L8&lt;=499,"Elephants","Whales")))</f>
        <v>Hares</v>
      </c>
      <c r="Z8" s="53"/>
      <c r="AA8" s="53"/>
      <c r="AB8" s="53"/>
      <c r="AC8" s="53"/>
    </row>
    <row r="9" spans="1:29" ht="16.5">
      <c r="A9" s="18" t="s">
        <v>41</v>
      </c>
      <c r="B9" s="18" t="s">
        <v>38</v>
      </c>
      <c r="C9" s="60" t="s">
        <v>27</v>
      </c>
      <c r="D9" s="60" t="s">
        <v>27</v>
      </c>
      <c r="E9" s="60">
        <f>4571851+156158</f>
        <v>4728009</v>
      </c>
      <c r="F9" s="60">
        <f>E9*5%</f>
        <v>236400.45</v>
      </c>
      <c r="G9" s="60">
        <f>485000</f>
        <v>485000</v>
      </c>
      <c r="H9" s="61">
        <f>SUM(E9:G9)</f>
        <v>5449409.4500000002</v>
      </c>
      <c r="I9" s="60">
        <v>6242034.5499999998</v>
      </c>
      <c r="J9" s="61">
        <f>SUM(G9:H9)</f>
        <v>5934409.4500000002</v>
      </c>
      <c r="K9" s="61">
        <f>J9/L9</f>
        <v>169554.55571428573</v>
      </c>
      <c r="L9" s="18">
        <v>35</v>
      </c>
      <c r="M9" s="65">
        <f>N9-L9</f>
        <v>62</v>
      </c>
      <c r="N9" s="18">
        <v>97</v>
      </c>
      <c r="O9" s="66">
        <v>45071</v>
      </c>
      <c r="P9" s="67">
        <v>45436</v>
      </c>
      <c r="Q9" s="60" t="str">
        <f>TEXT(O9,"mmmm")</f>
        <v>May</v>
      </c>
      <c r="R9" s="75">
        <f>YEAR(O9)</f>
        <v>2023</v>
      </c>
      <c r="S9" s="18" t="s">
        <v>40</v>
      </c>
      <c r="T9" s="18"/>
      <c r="U9" s="18"/>
      <c r="V9" s="18"/>
      <c r="W9" s="18"/>
      <c r="X9" s="77">
        <f>M9/L9</f>
        <v>1.7714285714285714</v>
      </c>
      <c r="Y9" t="str">
        <f>IF(L9&lt;=29,"Hares",IF(L9&lt;=99,"Tigers",IF(L9&lt;=499,"Elephants","Whales")))</f>
        <v>Tigers</v>
      </c>
      <c r="Z9" s="53"/>
      <c r="AA9" s="53"/>
      <c r="AB9" s="53"/>
      <c r="AC9" s="53"/>
    </row>
    <row r="10" spans="1:29" ht="16.5">
      <c r="A10" s="18" t="s">
        <v>42</v>
      </c>
      <c r="B10" s="18" t="s">
        <v>26</v>
      </c>
      <c r="C10" s="60" t="s">
        <v>27</v>
      </c>
      <c r="D10" s="60" t="s">
        <v>27</v>
      </c>
      <c r="E10" s="60">
        <v>5876347</v>
      </c>
      <c r="F10" s="60">
        <f>E10*5%</f>
        <v>293817.35000000003</v>
      </c>
      <c r="G10" s="60">
        <v>160000</v>
      </c>
      <c r="H10" s="61">
        <f>SUM(E10:G10)</f>
        <v>6330164.3499999996</v>
      </c>
      <c r="I10" s="60">
        <v>0</v>
      </c>
      <c r="J10" s="61">
        <f>SUM(G10:H10)</f>
        <v>6490164.3499999996</v>
      </c>
      <c r="K10" s="61">
        <f>J10/L10</f>
        <v>1298032.8699999999</v>
      </c>
      <c r="L10" s="18">
        <v>5</v>
      </c>
      <c r="M10" s="65">
        <f>N10-L10</f>
        <v>11</v>
      </c>
      <c r="N10" s="18">
        <v>16</v>
      </c>
      <c r="O10" s="66">
        <v>45092</v>
      </c>
      <c r="P10" s="67">
        <v>45457</v>
      </c>
      <c r="Q10" s="60" t="str">
        <f>TEXT(O10,"mmmm")</f>
        <v>June</v>
      </c>
      <c r="R10" s="75">
        <f>YEAR(O10)</f>
        <v>2023</v>
      </c>
      <c r="S10" s="18" t="s">
        <v>34</v>
      </c>
      <c r="T10" s="18"/>
      <c r="U10" s="18"/>
      <c r="V10" s="18"/>
      <c r="W10" s="18"/>
      <c r="X10" s="77">
        <f>M10/L10</f>
        <v>2.2000000000000002</v>
      </c>
      <c r="Y10" t="str">
        <f>IF(L10&lt;=29,"Hares",IF(L10&lt;=99,"Tigers",IF(L10&lt;=499,"Elephants","Whales")))</f>
        <v>Hares</v>
      </c>
      <c r="Z10" s="53"/>
      <c r="AA10" s="53"/>
      <c r="AB10" s="53"/>
      <c r="AC10" s="53"/>
    </row>
    <row r="11" spans="1:29" ht="16.5">
      <c r="A11" s="18" t="s">
        <v>43</v>
      </c>
      <c r="B11" s="18" t="s">
        <v>26</v>
      </c>
      <c r="C11" s="60" t="s">
        <v>27</v>
      </c>
      <c r="D11" s="60" t="s">
        <v>27</v>
      </c>
      <c r="E11" s="60">
        <v>20830183</v>
      </c>
      <c r="F11" s="60">
        <f>E11*5%</f>
        <v>1041509.15</v>
      </c>
      <c r="G11" s="60">
        <v>600000</v>
      </c>
      <c r="H11" s="61">
        <f>SUM(E11:G11)</f>
        <v>22471692.149999999</v>
      </c>
      <c r="I11" s="60">
        <v>0</v>
      </c>
      <c r="J11" s="61">
        <f>SUM(G11:H11)</f>
        <v>23071692.149999999</v>
      </c>
      <c r="K11" s="61">
        <f>J11/L11</f>
        <v>1153584.6074999999</v>
      </c>
      <c r="L11" s="18">
        <v>20</v>
      </c>
      <c r="M11" s="65">
        <f>N11-L11</f>
        <v>40</v>
      </c>
      <c r="N11" s="18">
        <v>60</v>
      </c>
      <c r="O11" s="66">
        <v>45095</v>
      </c>
      <c r="P11" s="67">
        <v>45460</v>
      </c>
      <c r="Q11" s="60" t="str">
        <f>TEXT(O11,"mmmm")</f>
        <v>June</v>
      </c>
      <c r="R11" s="75">
        <f>YEAR(O11)</f>
        <v>2023</v>
      </c>
      <c r="S11" s="18" t="s">
        <v>34</v>
      </c>
      <c r="T11" s="18"/>
      <c r="U11" s="18"/>
      <c r="V11" s="18"/>
      <c r="W11" s="18"/>
      <c r="X11" s="77">
        <f>M11/L11</f>
        <v>2</v>
      </c>
      <c r="Y11" t="str">
        <f>IF(L11&lt;=29,"Hares",IF(L11&lt;=99,"Tigers",IF(L11&lt;=499,"Elephants","Whales")))</f>
        <v>Hares</v>
      </c>
      <c r="Z11" s="53"/>
      <c r="AA11" s="53"/>
      <c r="AB11" s="53"/>
      <c r="AC11" s="53"/>
    </row>
    <row r="12" spans="1:29" ht="16.5">
      <c r="A12" s="18" t="s">
        <v>44</v>
      </c>
      <c r="B12" s="18" t="s">
        <v>26</v>
      </c>
      <c r="C12" s="60" t="s">
        <v>27</v>
      </c>
      <c r="D12" s="60" t="s">
        <v>27</v>
      </c>
      <c r="E12" s="60">
        <v>1983154</v>
      </c>
      <c r="F12" s="60">
        <f>E12*5%</f>
        <v>99157.700000000012</v>
      </c>
      <c r="G12" s="60">
        <v>80000</v>
      </c>
      <c r="H12" s="61">
        <f>SUM(E12:G12)</f>
        <v>2162311.7000000002</v>
      </c>
      <c r="I12" s="60">
        <v>0</v>
      </c>
      <c r="J12" s="61">
        <f>SUM(G12:H12)</f>
        <v>2242311.7000000002</v>
      </c>
      <c r="K12" s="61">
        <f>J12/L12</f>
        <v>1121155.8500000001</v>
      </c>
      <c r="L12" s="18">
        <v>2</v>
      </c>
      <c r="M12" s="65">
        <f>N12-L12</f>
        <v>6</v>
      </c>
      <c r="N12" s="18">
        <v>8</v>
      </c>
      <c r="O12" s="66">
        <v>45097</v>
      </c>
      <c r="P12" s="67">
        <v>45462</v>
      </c>
      <c r="Q12" s="60" t="str">
        <f>TEXT(O12,"mmmm")</f>
        <v>June</v>
      </c>
      <c r="R12" s="75">
        <f>YEAR(O12)</f>
        <v>2023</v>
      </c>
      <c r="S12" s="18" t="s">
        <v>34</v>
      </c>
      <c r="T12" s="18"/>
      <c r="U12" s="18"/>
      <c r="V12" s="18"/>
      <c r="W12" s="18"/>
      <c r="X12" s="77">
        <f>M12/L12</f>
        <v>3</v>
      </c>
      <c r="Y12" t="str">
        <f>IF(L12&lt;=29,"Hares",IF(L12&lt;=99,"Tigers",IF(L12&lt;=499,"Elephants","Whales")))</f>
        <v>Hares</v>
      </c>
    </row>
    <row r="13" spans="1:29" ht="16.5">
      <c r="A13" s="18" t="s">
        <v>45</v>
      </c>
      <c r="B13" s="18" t="s">
        <v>26</v>
      </c>
      <c r="C13" s="60" t="s">
        <v>27</v>
      </c>
      <c r="D13" s="60" t="s">
        <v>27</v>
      </c>
      <c r="E13" s="60">
        <v>464879</v>
      </c>
      <c r="F13" s="60">
        <f>E13*5%</f>
        <v>23243.95</v>
      </c>
      <c r="G13" s="60">
        <v>10000</v>
      </c>
      <c r="H13" s="61">
        <f>SUM(E13:G13)</f>
        <v>498122.95</v>
      </c>
      <c r="I13" s="60">
        <v>0</v>
      </c>
      <c r="J13" s="61">
        <f>SUM(G13:H13)</f>
        <v>508122.95</v>
      </c>
      <c r="K13" s="61">
        <f>J13/L13</f>
        <v>508122.95</v>
      </c>
      <c r="L13" s="18">
        <v>1</v>
      </c>
      <c r="M13" s="65">
        <f>N13-L13</f>
        <v>0</v>
      </c>
      <c r="N13" s="18">
        <v>1</v>
      </c>
      <c r="O13" s="66">
        <v>45114</v>
      </c>
      <c r="P13" s="67">
        <v>45479</v>
      </c>
      <c r="Q13" s="60" t="str">
        <f>TEXT(O13,"mmmm")</f>
        <v>July</v>
      </c>
      <c r="R13" s="75">
        <f>YEAR(O13)</f>
        <v>2023</v>
      </c>
      <c r="S13" s="18" t="s">
        <v>28</v>
      </c>
      <c r="T13" s="18"/>
      <c r="U13" s="18"/>
      <c r="V13" s="18"/>
      <c r="W13" s="18"/>
      <c r="X13" s="77">
        <f>M13/L13</f>
        <v>0</v>
      </c>
      <c r="Y13" t="str">
        <f>IF(L13&lt;=29,"Hares",IF(L13&lt;=99,"Tigers",IF(L13&lt;=499,"Elephants","Whales")))</f>
        <v>Hares</v>
      </c>
      <c r="Z13" s="53"/>
      <c r="AA13" s="53"/>
      <c r="AB13" s="53"/>
      <c r="AC13" s="53"/>
    </row>
    <row r="14" spans="1:29" ht="16.5">
      <c r="A14" s="18" t="s">
        <v>46</v>
      </c>
      <c r="B14" s="18" t="s">
        <v>26</v>
      </c>
      <c r="C14" s="60" t="s">
        <v>27</v>
      </c>
      <c r="D14" s="60" t="s">
        <v>27</v>
      </c>
      <c r="E14" s="60">
        <v>478944</v>
      </c>
      <c r="F14" s="60">
        <f>E14*5%</f>
        <v>23947.200000000001</v>
      </c>
      <c r="G14" s="60">
        <v>10000</v>
      </c>
      <c r="H14" s="61">
        <f>SUM(E14:G14)</f>
        <v>512891.2</v>
      </c>
      <c r="I14" s="60">
        <v>0</v>
      </c>
      <c r="J14" s="61">
        <f>SUM(G14:H14)</f>
        <v>522891.2</v>
      </c>
      <c r="K14" s="61">
        <f>J14/L14</f>
        <v>522891.2</v>
      </c>
      <c r="L14" s="18">
        <v>1</v>
      </c>
      <c r="M14" s="65">
        <f>N14-L14</f>
        <v>0</v>
      </c>
      <c r="N14" s="18">
        <v>1</v>
      </c>
      <c r="O14" s="66">
        <v>45121</v>
      </c>
      <c r="P14" s="67">
        <v>45486</v>
      </c>
      <c r="Q14" s="60" t="str">
        <f>TEXT(O14,"mmmm")</f>
        <v>July</v>
      </c>
      <c r="R14" s="75">
        <f>YEAR(O14)</f>
        <v>2023</v>
      </c>
      <c r="S14" s="18" t="s">
        <v>28</v>
      </c>
      <c r="T14" s="18"/>
      <c r="U14" s="18"/>
      <c r="V14" s="18"/>
      <c r="W14" s="18"/>
      <c r="X14" s="77">
        <f>M14/L14</f>
        <v>0</v>
      </c>
      <c r="Y14" t="str">
        <f>IF(L14&lt;=29,"Hares",IF(L14&lt;=99,"Tigers",IF(L14&lt;=499,"Elephants","Whales")))</f>
        <v>Hares</v>
      </c>
    </row>
    <row r="15" spans="1:29" ht="16.5">
      <c r="A15" s="18" t="s">
        <v>47</v>
      </c>
      <c r="B15" s="18" t="s">
        <v>26</v>
      </c>
      <c r="C15" s="60" t="s">
        <v>27</v>
      </c>
      <c r="D15" s="60" t="s">
        <v>27</v>
      </c>
      <c r="E15" s="60">
        <v>18581056</v>
      </c>
      <c r="F15" s="60">
        <f>E15*5%</f>
        <v>929052.8</v>
      </c>
      <c r="G15" s="60">
        <v>240000</v>
      </c>
      <c r="H15" s="61">
        <f>SUM(E15:G15)</f>
        <v>19750108.800000001</v>
      </c>
      <c r="I15" s="60">
        <v>0</v>
      </c>
      <c r="J15" s="61">
        <f>SUM(G15:H15)</f>
        <v>19990108.800000001</v>
      </c>
      <c r="K15" s="61">
        <f>J15/L15</f>
        <v>1332673.9200000002</v>
      </c>
      <c r="L15" s="18">
        <v>15</v>
      </c>
      <c r="M15" s="65">
        <f>N15-L15</f>
        <v>9</v>
      </c>
      <c r="N15" s="18">
        <v>24</v>
      </c>
      <c r="O15" s="66">
        <v>45129</v>
      </c>
      <c r="P15" s="67">
        <v>45494</v>
      </c>
      <c r="Q15" s="60" t="str">
        <f>TEXT(O15,"mmmm")</f>
        <v>July</v>
      </c>
      <c r="R15" s="75">
        <f>YEAR(O15)</f>
        <v>2023</v>
      </c>
      <c r="S15" s="18" t="s">
        <v>40</v>
      </c>
      <c r="T15" s="18"/>
      <c r="U15" s="18"/>
      <c r="V15" s="18"/>
      <c r="W15" s="18"/>
      <c r="X15" s="77">
        <f>M15/L15</f>
        <v>0.6</v>
      </c>
      <c r="Y15" t="str">
        <f>IF(L15&lt;=29,"Hares",IF(L15&lt;=99,"Tigers",IF(L15&lt;=499,"Elephants","Whales")))</f>
        <v>Hares</v>
      </c>
      <c r="Z15" s="53"/>
      <c r="AA15" s="53"/>
      <c r="AB15" s="53"/>
      <c r="AC15" s="53"/>
    </row>
    <row r="16" spans="1:29" ht="16.5">
      <c r="A16" s="18" t="s">
        <v>48</v>
      </c>
      <c r="B16" s="18" t="s">
        <v>26</v>
      </c>
      <c r="C16" s="60" t="s">
        <v>27</v>
      </c>
      <c r="D16" s="60" t="s">
        <v>27</v>
      </c>
      <c r="E16" s="60">
        <v>5862972</v>
      </c>
      <c r="F16" s="60">
        <f>E16*5%</f>
        <v>293148.60000000003</v>
      </c>
      <c r="G16" s="60">
        <v>220000</v>
      </c>
      <c r="H16" s="61">
        <f>SUM(E16:G16)</f>
        <v>6376120.5999999996</v>
      </c>
      <c r="I16" s="60">
        <v>0</v>
      </c>
      <c r="J16" s="61">
        <f>SUM(G16:H16)</f>
        <v>6596120.5999999996</v>
      </c>
      <c r="K16" s="61">
        <f>J16/L16</f>
        <v>1099353.4333333333</v>
      </c>
      <c r="L16" s="18">
        <v>6</v>
      </c>
      <c r="M16" s="65">
        <f>N16-L16</f>
        <v>16</v>
      </c>
      <c r="N16" s="18">
        <v>22</v>
      </c>
      <c r="O16" s="66">
        <v>45145</v>
      </c>
      <c r="P16" s="67">
        <v>45510</v>
      </c>
      <c r="Q16" s="60" t="str">
        <f>TEXT(O16,"mmmm")</f>
        <v>August</v>
      </c>
      <c r="R16" s="75">
        <f>YEAR(O16)</f>
        <v>2023</v>
      </c>
      <c r="S16" s="18" t="s">
        <v>34</v>
      </c>
      <c r="T16" s="18"/>
      <c r="U16" s="18"/>
      <c r="V16" s="18"/>
      <c r="W16" s="18"/>
      <c r="X16" s="77">
        <f>M16/L16</f>
        <v>2.6666666666666665</v>
      </c>
      <c r="Y16" t="str">
        <f>IF(L16&lt;=29,"Hares",IF(L16&lt;=99,"Tigers",IF(L16&lt;=499,"Elephants","Whales")))</f>
        <v>Hares</v>
      </c>
    </row>
    <row r="17" spans="1:29" ht="16.5">
      <c r="A17" s="18" t="s">
        <v>49</v>
      </c>
      <c r="B17" s="18" t="s">
        <v>26</v>
      </c>
      <c r="C17" s="60" t="s">
        <v>27</v>
      </c>
      <c r="D17" s="60" t="s">
        <v>27</v>
      </c>
      <c r="E17" s="60">
        <v>544214</v>
      </c>
      <c r="F17" s="60">
        <f>E17*5%</f>
        <v>27210.7</v>
      </c>
      <c r="G17" s="60">
        <v>10000</v>
      </c>
      <c r="H17" s="61">
        <f>SUM(E17:G17)</f>
        <v>581424.69999999995</v>
      </c>
      <c r="I17" s="60">
        <v>0</v>
      </c>
      <c r="J17" s="61">
        <f>SUM(G17:H17)</f>
        <v>591424.69999999995</v>
      </c>
      <c r="K17" s="61">
        <f>J17/L17</f>
        <v>591424.69999999995</v>
      </c>
      <c r="L17" s="18">
        <v>1</v>
      </c>
      <c r="M17" s="65">
        <f>N17-L17</f>
        <v>0</v>
      </c>
      <c r="N17" s="18">
        <v>1</v>
      </c>
      <c r="O17" s="66">
        <v>45149</v>
      </c>
      <c r="P17" s="67">
        <v>45514</v>
      </c>
      <c r="Q17" s="60" t="str">
        <f>TEXT(O17,"mmmm")</f>
        <v>August</v>
      </c>
      <c r="R17" s="75">
        <f>YEAR(O17)</f>
        <v>2023</v>
      </c>
      <c r="S17" s="18" t="s">
        <v>28</v>
      </c>
      <c r="T17" s="18"/>
      <c r="U17" s="18"/>
      <c r="V17" s="18"/>
      <c r="W17" s="18"/>
      <c r="X17" s="77">
        <f>M17/L17</f>
        <v>0</v>
      </c>
      <c r="Y17" t="str">
        <f>IF(L17&lt;=29,"Hares",IF(L17&lt;=99,"Tigers",IF(L17&lt;=499,"Elephants","Whales")))</f>
        <v>Hares</v>
      </c>
    </row>
    <row r="18" spans="1:29" ht="16.5">
      <c r="A18" s="18" t="s">
        <v>50</v>
      </c>
      <c r="B18" s="18" t="s">
        <v>26</v>
      </c>
      <c r="C18" s="60" t="s">
        <v>27</v>
      </c>
      <c r="D18" s="60" t="s">
        <v>27</v>
      </c>
      <c r="E18" s="60">
        <v>13176847</v>
      </c>
      <c r="F18" s="60">
        <f>E18*5%</f>
        <v>658842.35000000009</v>
      </c>
      <c r="G18" s="60">
        <v>370000</v>
      </c>
      <c r="H18" s="61">
        <f>SUM(E18:G18)</f>
        <v>14205689.35</v>
      </c>
      <c r="I18" s="60">
        <v>0</v>
      </c>
      <c r="J18" s="61">
        <f>SUM(G18:H18)</f>
        <v>14575689.35</v>
      </c>
      <c r="K18" s="61">
        <f>J18/L18</f>
        <v>809760.51944444445</v>
      </c>
      <c r="L18" s="18">
        <v>18</v>
      </c>
      <c r="M18" s="65">
        <f>N18-L18</f>
        <v>19</v>
      </c>
      <c r="N18" s="18">
        <v>37</v>
      </c>
      <c r="O18" s="66">
        <v>45153</v>
      </c>
      <c r="P18" s="67">
        <v>45518</v>
      </c>
      <c r="Q18" s="60" t="str">
        <f>TEXT(O18,"mmmm")</f>
        <v>August</v>
      </c>
      <c r="R18" s="75">
        <f>YEAR(O18)</f>
        <v>2023</v>
      </c>
      <c r="S18" s="18" t="s">
        <v>34</v>
      </c>
      <c r="T18" s="18"/>
      <c r="U18" s="18"/>
      <c r="V18" s="18"/>
      <c r="W18" s="18"/>
      <c r="X18" s="77">
        <f>M18/L18</f>
        <v>1.0555555555555556</v>
      </c>
      <c r="Y18" t="str">
        <f>IF(L18&lt;=29,"Hares",IF(L18&lt;=99,"Tigers",IF(L18&lt;=499,"Elephants","Whales")))</f>
        <v>Hares</v>
      </c>
    </row>
    <row r="19" spans="1:29" ht="16.5">
      <c r="A19" s="18" t="s">
        <v>53</v>
      </c>
      <c r="B19" s="18" t="s">
        <v>26</v>
      </c>
      <c r="C19" s="60" t="s">
        <v>27</v>
      </c>
      <c r="D19" s="60" t="s">
        <v>27</v>
      </c>
      <c r="E19" s="60">
        <f>16805892+305552290</f>
        <v>322358182</v>
      </c>
      <c r="F19" s="60">
        <f>E19*5%</f>
        <v>16117909.100000001</v>
      </c>
      <c r="G19" s="60">
        <f>2000000+320000</f>
        <v>2320000</v>
      </c>
      <c r="H19" s="61">
        <f>SUM(E19:G19)</f>
        <v>340796091.10000002</v>
      </c>
      <c r="I19" s="60">
        <v>0</v>
      </c>
      <c r="J19" s="61">
        <f>SUM(G19:H19)</f>
        <v>343116091.10000002</v>
      </c>
      <c r="K19" s="61">
        <f>J19/L19</f>
        <v>369737.16713362071</v>
      </c>
      <c r="L19" s="18">
        <v>928</v>
      </c>
      <c r="M19" s="65">
        <f>N19-L19</f>
        <v>0</v>
      </c>
      <c r="N19" s="18">
        <v>928</v>
      </c>
      <c r="O19" s="66">
        <v>45170</v>
      </c>
      <c r="P19" s="67">
        <v>45535</v>
      </c>
      <c r="Q19" s="60" t="str">
        <f>TEXT(O19,"mmmm")</f>
        <v>September</v>
      </c>
      <c r="R19" s="75">
        <f>YEAR(O19)</f>
        <v>2023</v>
      </c>
      <c r="S19" s="18" t="s">
        <v>28</v>
      </c>
      <c r="T19" s="18"/>
      <c r="U19" s="18"/>
      <c r="V19" s="18"/>
      <c r="W19" s="18"/>
      <c r="X19" s="77">
        <f>M19/L19</f>
        <v>0</v>
      </c>
      <c r="Y19" t="str">
        <f>IF(L19&lt;=29,"Hares",IF(L19&lt;=99,"Tigers",IF(L19&lt;=499,"Elephants","Whales")))</f>
        <v>Whales</v>
      </c>
    </row>
    <row r="20" spans="1:29" ht="16.5">
      <c r="A20" s="18" t="s">
        <v>52</v>
      </c>
      <c r="B20" s="18" t="s">
        <v>26</v>
      </c>
      <c r="C20" s="60" t="s">
        <v>27</v>
      </c>
      <c r="D20" s="60" t="s">
        <v>27</v>
      </c>
      <c r="E20" s="60">
        <v>2669709</v>
      </c>
      <c r="F20" s="60">
        <f>E20*5%</f>
        <v>133485.45000000001</v>
      </c>
      <c r="G20" s="60">
        <v>70000</v>
      </c>
      <c r="H20" s="61">
        <f>SUM(E20:G20)</f>
        <v>2873194.45</v>
      </c>
      <c r="I20" s="60">
        <v>0</v>
      </c>
      <c r="J20" s="61">
        <f>SUM(G20:H20)</f>
        <v>2943194.45</v>
      </c>
      <c r="K20" s="61">
        <f>J20/L20</f>
        <v>735798.61250000005</v>
      </c>
      <c r="L20" s="18">
        <v>4</v>
      </c>
      <c r="M20" s="65">
        <f>N20-L20</f>
        <v>3</v>
      </c>
      <c r="N20" s="18">
        <v>7</v>
      </c>
      <c r="O20" s="66">
        <v>45170</v>
      </c>
      <c r="P20" s="67">
        <v>45535</v>
      </c>
      <c r="Q20" s="60" t="str">
        <f>TEXT(O20,"mmmm")</f>
        <v>September</v>
      </c>
      <c r="R20" s="75">
        <f>YEAR(O20)</f>
        <v>2023</v>
      </c>
      <c r="S20" s="18" t="s">
        <v>28</v>
      </c>
      <c r="T20" s="18"/>
      <c r="U20" s="18"/>
      <c r="V20" s="18"/>
      <c r="W20" s="18"/>
      <c r="X20" s="77">
        <f>M20/L20</f>
        <v>0.75</v>
      </c>
      <c r="Y20" t="str">
        <f>IF(L20&lt;=29,"Hares",IF(L20&lt;=99,"Tigers",IF(L20&lt;=499,"Elephants","Whales")))</f>
        <v>Hares</v>
      </c>
    </row>
    <row r="21" spans="1:29" ht="16.5">
      <c r="A21" s="18" t="s">
        <v>51</v>
      </c>
      <c r="B21" s="18" t="s">
        <v>26</v>
      </c>
      <c r="C21" s="60" t="s">
        <v>27</v>
      </c>
      <c r="D21" s="60" t="s">
        <v>27</v>
      </c>
      <c r="E21" s="60">
        <v>14687764</v>
      </c>
      <c r="F21" s="60">
        <f>E21*5%</f>
        <v>734388.20000000007</v>
      </c>
      <c r="G21" s="60">
        <v>450000</v>
      </c>
      <c r="H21" s="61">
        <f>SUM(E21:G21)</f>
        <v>15872152.199999999</v>
      </c>
      <c r="I21" s="60">
        <v>0</v>
      </c>
      <c r="J21" s="61">
        <f>SUM(G21:H21)</f>
        <v>16322152.199999999</v>
      </c>
      <c r="K21" s="61">
        <f>J21/L21</f>
        <v>777245.34285714279</v>
      </c>
      <c r="L21" s="18">
        <v>21</v>
      </c>
      <c r="M21" s="65">
        <f>N21-L21</f>
        <v>24</v>
      </c>
      <c r="N21" s="18">
        <v>45</v>
      </c>
      <c r="O21" s="66">
        <v>45170</v>
      </c>
      <c r="P21" s="67">
        <v>45535</v>
      </c>
      <c r="Q21" s="60" t="str">
        <f>TEXT(O21,"mmmm")</f>
        <v>September</v>
      </c>
      <c r="R21" s="75">
        <f>YEAR(O21)</f>
        <v>2023</v>
      </c>
      <c r="S21" s="18" t="s">
        <v>40</v>
      </c>
      <c r="T21" s="18"/>
      <c r="U21" s="18"/>
      <c r="V21" s="18"/>
      <c r="W21" s="18"/>
      <c r="X21" s="77">
        <f>M21/L21</f>
        <v>1.1428571428571428</v>
      </c>
      <c r="Y21" t="str">
        <f>IF(L21&lt;=29,"Hares",IF(L21&lt;=99,"Tigers",IF(L21&lt;=499,"Elephants","Whales")))</f>
        <v>Hares</v>
      </c>
    </row>
    <row r="22" spans="1:29" ht="15.75" customHeight="1">
      <c r="A22" s="18" t="s">
        <v>54</v>
      </c>
      <c r="B22" s="18" t="s">
        <v>26</v>
      </c>
      <c r="C22" s="60" t="s">
        <v>27</v>
      </c>
      <c r="D22" s="60" t="s">
        <v>27</v>
      </c>
      <c r="E22" s="60">
        <v>2763650</v>
      </c>
      <c r="F22" s="60">
        <f>E22*5%</f>
        <v>138182.5</v>
      </c>
      <c r="G22" s="60">
        <v>170000</v>
      </c>
      <c r="H22" s="61">
        <f>SUM(E22:G22)</f>
        <v>3071832.5</v>
      </c>
      <c r="I22" s="60">
        <v>0</v>
      </c>
      <c r="J22" s="61">
        <f>SUM(G22:H22)</f>
        <v>3241832.5</v>
      </c>
      <c r="K22" s="61">
        <f>J22/L22</f>
        <v>360203.61111111112</v>
      </c>
      <c r="L22" s="18">
        <v>9</v>
      </c>
      <c r="M22" s="65">
        <f>N22-L22</f>
        <v>8</v>
      </c>
      <c r="N22" s="18">
        <v>17</v>
      </c>
      <c r="O22" s="66">
        <v>45194</v>
      </c>
      <c r="P22" s="67">
        <v>45559</v>
      </c>
      <c r="Q22" s="60" t="str">
        <f>TEXT(O22,"mmmm")</f>
        <v>September</v>
      </c>
      <c r="R22" s="75">
        <f>YEAR(O22)</f>
        <v>2023</v>
      </c>
      <c r="S22" s="18" t="s">
        <v>28</v>
      </c>
      <c r="T22" s="18"/>
      <c r="U22" s="18"/>
      <c r="V22" s="18"/>
      <c r="W22" s="18"/>
      <c r="X22" s="77">
        <f>M22/L22</f>
        <v>0.88888888888888884</v>
      </c>
      <c r="Y22" t="str">
        <f>IF(L22&lt;=29,"Hares",IF(L22&lt;=99,"Tigers",IF(L22&lt;=499,"Elephants","Whales")))</f>
        <v>Hares</v>
      </c>
    </row>
    <row r="23" spans="1:29" ht="15.75" customHeight="1">
      <c r="A23" s="18" t="s">
        <v>55</v>
      </c>
      <c r="B23" s="18" t="s">
        <v>26</v>
      </c>
      <c r="C23" s="60" t="s">
        <v>27</v>
      </c>
      <c r="D23" s="60" t="s">
        <v>27</v>
      </c>
      <c r="E23" s="60">
        <v>150324600</v>
      </c>
      <c r="F23" s="60">
        <f>E23*5%</f>
        <v>7516230</v>
      </c>
      <c r="G23" s="60">
        <v>1434000</v>
      </c>
      <c r="H23" s="61">
        <f>SUM(E23:G23)</f>
        <v>159274830</v>
      </c>
      <c r="I23" s="60">
        <v>0</v>
      </c>
      <c r="J23" s="61">
        <f>SUM(G23:H23)</f>
        <v>160708830</v>
      </c>
      <c r="K23" s="61">
        <f>J23/L23</f>
        <v>406857.7974683544</v>
      </c>
      <c r="L23" s="18">
        <v>395</v>
      </c>
      <c r="M23" s="65">
        <v>395</v>
      </c>
      <c r="N23" s="18">
        <f>395+80</f>
        <v>475</v>
      </c>
      <c r="O23" s="66">
        <v>45204</v>
      </c>
      <c r="P23" s="67">
        <v>45569</v>
      </c>
      <c r="Q23" s="60" t="str">
        <f>TEXT(O23,"mmmm")</f>
        <v>October</v>
      </c>
      <c r="R23" s="75">
        <f>YEAR(O23)</f>
        <v>2023</v>
      </c>
      <c r="S23" s="18" t="s">
        <v>28</v>
      </c>
      <c r="T23" s="18"/>
      <c r="U23" s="18"/>
      <c r="V23" s="18"/>
      <c r="W23" s="18"/>
      <c r="X23" s="77">
        <f>M23/L23</f>
        <v>1</v>
      </c>
      <c r="Y23" t="str">
        <f>IF(L23&lt;=29,"Hares",IF(L23&lt;=99,"Tigers",IF(L23&lt;=499,"Elephants","Whales")))</f>
        <v>Elephants</v>
      </c>
      <c r="Z23" s="53"/>
      <c r="AA23" s="53"/>
      <c r="AB23" s="53"/>
      <c r="AC23" s="53"/>
    </row>
    <row r="24" spans="1:29" ht="15.75" customHeight="1">
      <c r="A24" s="18" t="s">
        <v>57</v>
      </c>
      <c r="B24" s="18" t="s">
        <v>26</v>
      </c>
      <c r="C24" s="60" t="s">
        <v>27</v>
      </c>
      <c r="D24" s="60" t="s">
        <v>27</v>
      </c>
      <c r="E24" s="60">
        <v>23189154</v>
      </c>
      <c r="F24" s="60">
        <f>E24*5%</f>
        <v>1159457.7</v>
      </c>
      <c r="G24" s="60">
        <v>340000</v>
      </c>
      <c r="H24" s="61">
        <f>SUM(E24:G24)</f>
        <v>24688611.699999999</v>
      </c>
      <c r="I24" s="60">
        <v>0</v>
      </c>
      <c r="J24" s="61">
        <f>SUM(G24:H24)</f>
        <v>25028611.699999999</v>
      </c>
      <c r="K24" s="61">
        <f>J24/L24</f>
        <v>1251430.585</v>
      </c>
      <c r="L24" s="18">
        <v>20</v>
      </c>
      <c r="M24" s="65">
        <f>N24-L24</f>
        <v>48</v>
      </c>
      <c r="N24" s="18">
        <v>68</v>
      </c>
      <c r="O24" s="66">
        <v>45206</v>
      </c>
      <c r="P24" s="67">
        <v>45571</v>
      </c>
      <c r="Q24" s="60" t="str">
        <f>TEXT(O24,"mmmm")</f>
        <v>October</v>
      </c>
      <c r="R24" s="75">
        <f>YEAR(O24)</f>
        <v>2023</v>
      </c>
      <c r="S24" s="18" t="s">
        <v>40</v>
      </c>
      <c r="T24" s="18"/>
      <c r="U24" s="18"/>
      <c r="V24" s="18"/>
      <c r="W24" s="18"/>
      <c r="X24" s="77">
        <f>M24/L24</f>
        <v>2.4</v>
      </c>
      <c r="Y24" t="str">
        <f>IF(L24&lt;=29,"Hares",IF(L24&lt;=99,"Tigers",IF(L24&lt;=499,"Elephants","Whales")))</f>
        <v>Hares</v>
      </c>
    </row>
    <row r="25" spans="1:29" ht="15.75" customHeight="1">
      <c r="A25" s="18" t="s">
        <v>56</v>
      </c>
      <c r="B25" s="18" t="s">
        <v>26</v>
      </c>
      <c r="C25" s="60" t="s">
        <v>27</v>
      </c>
      <c r="D25" s="60" t="s">
        <v>27</v>
      </c>
      <c r="E25" s="61">
        <v>1555168</v>
      </c>
      <c r="F25" s="61">
        <f>E25*5%</f>
        <v>77758.400000000009</v>
      </c>
      <c r="G25" s="61">
        <v>30000</v>
      </c>
      <c r="H25" s="61">
        <f>SUM(E25:G25)</f>
        <v>1662926.4</v>
      </c>
      <c r="I25" s="61">
        <v>0</v>
      </c>
      <c r="J25" s="61">
        <f>SUM(G25:H25)</f>
        <v>1692926.4</v>
      </c>
      <c r="K25" s="61">
        <f>J25/L25</f>
        <v>1692926.4</v>
      </c>
      <c r="L25" s="18">
        <v>1</v>
      </c>
      <c r="M25" s="65">
        <f>N25-L25</f>
        <v>2</v>
      </c>
      <c r="N25" s="18">
        <v>3</v>
      </c>
      <c r="O25" s="66">
        <v>45206</v>
      </c>
      <c r="P25" s="67">
        <v>45571</v>
      </c>
      <c r="Q25" s="60" t="str">
        <f>TEXT(O25,"mmmm")</f>
        <v>October</v>
      </c>
      <c r="R25" s="75">
        <f>YEAR(O25)</f>
        <v>2023</v>
      </c>
      <c r="S25" s="18" t="s">
        <v>28</v>
      </c>
      <c r="T25" s="18"/>
      <c r="U25" s="18"/>
      <c r="V25" s="18"/>
      <c r="W25" s="18"/>
      <c r="X25" s="77">
        <f>M25/L25</f>
        <v>2</v>
      </c>
      <c r="Y25" t="str">
        <f>IF(L25&lt;=29,"Hares",IF(L25&lt;=99,"Tigers",IF(L25&lt;=499,"Elephants","Whales")))</f>
        <v>Hares</v>
      </c>
    </row>
    <row r="26" spans="1:29" ht="15.75" customHeight="1">
      <c r="A26" s="18" t="s">
        <v>58</v>
      </c>
      <c r="B26" s="18" t="s">
        <v>26</v>
      </c>
      <c r="C26" s="60" t="s">
        <v>27</v>
      </c>
      <c r="D26" s="60" t="s">
        <v>27</v>
      </c>
      <c r="E26" s="61">
        <v>1463279</v>
      </c>
      <c r="F26" s="61">
        <f>E26*5%</f>
        <v>73163.95</v>
      </c>
      <c r="G26" s="61">
        <v>40000</v>
      </c>
      <c r="H26" s="61">
        <f>SUM(E26:G26)</f>
        <v>1576442.95</v>
      </c>
      <c r="I26" s="61">
        <v>0</v>
      </c>
      <c r="J26" s="61">
        <f>SUM(G26:H26)</f>
        <v>1616442.95</v>
      </c>
      <c r="K26" s="61">
        <f>J26/L26</f>
        <v>1616442.95</v>
      </c>
      <c r="L26" s="18">
        <v>1</v>
      </c>
      <c r="M26" s="65">
        <f>N26-L26</f>
        <v>3</v>
      </c>
      <c r="N26" s="18">
        <v>4</v>
      </c>
      <c r="O26" s="66">
        <v>45218</v>
      </c>
      <c r="P26" s="67">
        <v>45583</v>
      </c>
      <c r="Q26" s="60" t="str">
        <f>TEXT(O26,"mmmm")</f>
        <v>October</v>
      </c>
      <c r="R26" s="75">
        <f>YEAR(O26)</f>
        <v>2023</v>
      </c>
      <c r="S26" s="18" t="s">
        <v>28</v>
      </c>
      <c r="T26" s="18"/>
      <c r="U26" s="18"/>
      <c r="V26" s="18"/>
      <c r="W26" s="18"/>
      <c r="X26" s="77">
        <f>M26/L26</f>
        <v>3</v>
      </c>
      <c r="Y26" t="str">
        <f>IF(L26&lt;=29,"Hares",IF(L26&lt;=99,"Tigers",IF(L26&lt;=499,"Elephants","Whales")))</f>
        <v>Hares</v>
      </c>
    </row>
    <row r="27" spans="1:29" ht="15.75" customHeight="1">
      <c r="A27" s="18" t="s">
        <v>59</v>
      </c>
      <c r="B27" s="18" t="s">
        <v>26</v>
      </c>
      <c r="C27" s="60" t="s">
        <v>27</v>
      </c>
      <c r="D27" s="60" t="s">
        <v>27</v>
      </c>
      <c r="E27" s="61">
        <v>1888962</v>
      </c>
      <c r="F27" s="61">
        <f>E27*5%</f>
        <v>94448.1</v>
      </c>
      <c r="G27" s="61">
        <v>50000</v>
      </c>
      <c r="H27" s="61">
        <f>SUM(E27:G27)</f>
        <v>2033410.1</v>
      </c>
      <c r="I27" s="61">
        <v>0</v>
      </c>
      <c r="J27" s="61">
        <f>SUM(G27:H27)</f>
        <v>2083410.1</v>
      </c>
      <c r="K27" s="61">
        <f>J27/L27</f>
        <v>694470.03333333333</v>
      </c>
      <c r="L27" s="18">
        <v>3</v>
      </c>
      <c r="M27" s="65">
        <f>N27-L27</f>
        <v>2</v>
      </c>
      <c r="N27" s="18">
        <v>5</v>
      </c>
      <c r="O27" s="66">
        <v>45223</v>
      </c>
      <c r="P27" s="67">
        <v>45588</v>
      </c>
      <c r="Q27" s="60" t="str">
        <f>TEXT(O27,"mmmm")</f>
        <v>October</v>
      </c>
      <c r="R27" s="75">
        <f>YEAR(O27)</f>
        <v>2023</v>
      </c>
      <c r="S27" s="18" t="s">
        <v>28</v>
      </c>
      <c r="T27" s="18"/>
      <c r="U27" s="18"/>
      <c r="V27" s="18"/>
      <c r="W27" s="18"/>
      <c r="X27" s="77">
        <f>M27/L27</f>
        <v>0.66666666666666663</v>
      </c>
      <c r="Y27" t="str">
        <f>IF(L27&lt;=29,"Hares",IF(L27&lt;=99,"Tigers",IF(L27&lt;=499,"Elephants","Whales")))</f>
        <v>Hares</v>
      </c>
    </row>
    <row r="28" spans="1:29" ht="15.75" customHeight="1">
      <c r="A28" s="18" t="s">
        <v>60</v>
      </c>
      <c r="B28" s="18" t="s">
        <v>26</v>
      </c>
      <c r="C28" s="60" t="s">
        <v>27</v>
      </c>
      <c r="D28" s="60" t="s">
        <v>27</v>
      </c>
      <c r="E28" s="61">
        <v>2468070</v>
      </c>
      <c r="F28" s="61">
        <f>E28*5%</f>
        <v>123403.5</v>
      </c>
      <c r="G28" s="61">
        <v>70000</v>
      </c>
      <c r="H28" s="61">
        <f>SUM(E28:G28)</f>
        <v>2661473.5</v>
      </c>
      <c r="I28" s="61">
        <v>0</v>
      </c>
      <c r="J28" s="61">
        <f>SUM(G28:H28)</f>
        <v>2731473.5</v>
      </c>
      <c r="K28" s="61">
        <f>J28/L28</f>
        <v>546294.69999999995</v>
      </c>
      <c r="L28" s="18">
        <v>5</v>
      </c>
      <c r="M28" s="65">
        <f>N28-L28</f>
        <v>2</v>
      </c>
      <c r="N28" s="18">
        <v>7</v>
      </c>
      <c r="O28" s="66">
        <v>45224</v>
      </c>
      <c r="P28" s="67">
        <v>45589</v>
      </c>
      <c r="Q28" s="60" t="str">
        <f>TEXT(O28,"mmmm")</f>
        <v>October</v>
      </c>
      <c r="R28" s="75">
        <f>YEAR(O28)</f>
        <v>2023</v>
      </c>
      <c r="S28" s="18" t="s">
        <v>28</v>
      </c>
      <c r="T28" s="18"/>
      <c r="U28" s="18"/>
      <c r="V28" s="18"/>
      <c r="W28" s="18"/>
      <c r="X28" s="77">
        <f>M28/L28</f>
        <v>0.4</v>
      </c>
      <c r="Y28" t="str">
        <f>IF(L28&lt;=29,"Hares",IF(L28&lt;=99,"Tigers",IF(L28&lt;=499,"Elephants","Whales")))</f>
        <v>Hares</v>
      </c>
    </row>
    <row r="29" spans="1:29" ht="15.75" customHeight="1">
      <c r="A29" s="18" t="s">
        <v>61</v>
      </c>
      <c r="B29" s="18" t="s">
        <v>26</v>
      </c>
      <c r="C29" s="60" t="s">
        <v>27</v>
      </c>
      <c r="D29" s="60" t="s">
        <v>27</v>
      </c>
      <c r="E29" s="61">
        <v>4823725</v>
      </c>
      <c r="F29" s="61">
        <f>E29*5%</f>
        <v>241186.25</v>
      </c>
      <c r="G29" s="61">
        <v>140000</v>
      </c>
      <c r="H29" s="61">
        <f>SUM(E29:G29)</f>
        <v>5204911.25</v>
      </c>
      <c r="I29" s="61">
        <v>0</v>
      </c>
      <c r="J29" s="61">
        <f>SUM(G29:H29)</f>
        <v>5344911.25</v>
      </c>
      <c r="K29" s="61">
        <f>J29/L29</f>
        <v>1336227.8125</v>
      </c>
      <c r="L29" s="18">
        <v>4</v>
      </c>
      <c r="M29" s="65">
        <f>N29-L29</f>
        <v>10</v>
      </c>
      <c r="N29" s="18">
        <v>14</v>
      </c>
      <c r="O29" s="66">
        <v>45230</v>
      </c>
      <c r="P29" s="67">
        <v>45595</v>
      </c>
      <c r="Q29" s="60" t="str">
        <f>TEXT(O29,"mmmm")</f>
        <v>October</v>
      </c>
      <c r="R29" s="75">
        <f>YEAR(O29)</f>
        <v>2023</v>
      </c>
      <c r="S29" s="18" t="s">
        <v>34</v>
      </c>
      <c r="T29" s="18"/>
      <c r="U29" s="18"/>
      <c r="V29" s="18"/>
      <c r="W29" s="18"/>
      <c r="X29" s="77">
        <f>M29/L29</f>
        <v>2.5</v>
      </c>
      <c r="Y29" t="str">
        <f>IF(L29&lt;=29,"Hares",IF(L29&lt;=99,"Tigers",IF(L29&lt;=499,"Elephants","Whales")))</f>
        <v>Hares</v>
      </c>
    </row>
    <row r="30" spans="1:29" ht="15.75" customHeight="1">
      <c r="A30" s="18" t="s">
        <v>62</v>
      </c>
      <c r="B30" s="18" t="s">
        <v>26</v>
      </c>
      <c r="C30" s="60" t="s">
        <v>27</v>
      </c>
      <c r="D30" s="60" t="s">
        <v>27</v>
      </c>
      <c r="E30" s="61">
        <v>464822</v>
      </c>
      <c r="F30" s="61">
        <f>E30*5%</f>
        <v>23241.100000000002</v>
      </c>
      <c r="G30" s="61">
        <v>10000</v>
      </c>
      <c r="H30" s="61">
        <f>SUM(E30:G30)</f>
        <v>498063.1</v>
      </c>
      <c r="I30" s="61">
        <v>0</v>
      </c>
      <c r="J30" s="61">
        <f>SUM(G30:H30)</f>
        <v>508063.1</v>
      </c>
      <c r="K30" s="68">
        <f>J30/L30</f>
        <v>508063.1</v>
      </c>
      <c r="L30" s="18">
        <v>1</v>
      </c>
      <c r="M30" s="65">
        <v>0</v>
      </c>
      <c r="N30" s="18">
        <v>1</v>
      </c>
      <c r="O30" s="66">
        <v>45244</v>
      </c>
      <c r="P30" s="67">
        <v>45243</v>
      </c>
      <c r="Q30" s="60" t="str">
        <f>TEXT(O30,"mmmm")</f>
        <v>November</v>
      </c>
      <c r="R30" s="75">
        <f>YEAR(O30)</f>
        <v>2023</v>
      </c>
      <c r="S30" s="18" t="s">
        <v>28</v>
      </c>
      <c r="T30" s="18"/>
      <c r="U30" s="18"/>
      <c r="V30" s="18"/>
      <c r="W30" s="18"/>
      <c r="X30" s="77">
        <f>M30/L30</f>
        <v>0</v>
      </c>
      <c r="Y30" t="str">
        <f>IF(L30&lt;=29,"Hares",IF(L30&lt;=99,"Tigers",IF(L30&lt;=499,"Elephants","Whales")))</f>
        <v>Hares</v>
      </c>
    </row>
    <row r="31" spans="1:29" ht="15.75" customHeight="1">
      <c r="A31" s="18" t="s">
        <v>63</v>
      </c>
      <c r="B31" s="18" t="s">
        <v>26</v>
      </c>
      <c r="C31" s="60" t="s">
        <v>27</v>
      </c>
      <c r="D31" s="60" t="s">
        <v>27</v>
      </c>
      <c r="E31" s="61">
        <f>10019094+2178144</f>
        <v>12197238</v>
      </c>
      <c r="F31" s="61">
        <f>E31*5%</f>
        <v>609861.9</v>
      </c>
      <c r="G31" s="61">
        <f>60000+280000</f>
        <v>340000</v>
      </c>
      <c r="H31" s="61">
        <f>SUM(E31:G31)</f>
        <v>13147099.9</v>
      </c>
      <c r="I31" s="61">
        <v>0</v>
      </c>
      <c r="J31" s="61">
        <f>SUM(G31:H31)</f>
        <v>13487099.9</v>
      </c>
      <c r="K31" s="61">
        <f>J31/L31</f>
        <v>899139.9933333334</v>
      </c>
      <c r="L31" s="18">
        <v>15</v>
      </c>
      <c r="M31" s="65">
        <v>19</v>
      </c>
      <c r="N31" s="18">
        <f>SUM(L31:M31)</f>
        <v>34</v>
      </c>
      <c r="O31" s="66">
        <v>45246</v>
      </c>
      <c r="P31" s="67">
        <v>45245</v>
      </c>
      <c r="Q31" s="60" t="str">
        <f>TEXT(O31,"mmmm")</f>
        <v>November</v>
      </c>
      <c r="R31" s="75">
        <f>YEAR(O31)</f>
        <v>2023</v>
      </c>
      <c r="S31" s="18" t="s">
        <v>28</v>
      </c>
      <c r="T31" s="18"/>
      <c r="U31" s="18"/>
      <c r="V31" s="18"/>
      <c r="W31" s="18"/>
      <c r="X31" s="77">
        <f>M31/L31</f>
        <v>1.2666666666666666</v>
      </c>
      <c r="Y31" t="str">
        <f>IF(L31&lt;=29,"Hares",IF(L31&lt;=99,"Tigers",IF(L31&lt;=499,"Elephants","Whales")))</f>
        <v>Hares</v>
      </c>
    </row>
    <row r="32" spans="1:29" ht="15.75" customHeight="1">
      <c r="A32" s="18" t="s">
        <v>64</v>
      </c>
      <c r="B32" s="18" t="s">
        <v>26</v>
      </c>
      <c r="C32" s="60" t="s">
        <v>27</v>
      </c>
      <c r="D32" s="60" t="s">
        <v>27</v>
      </c>
      <c r="E32" s="61">
        <v>1150690</v>
      </c>
      <c r="F32" s="61">
        <f>E32*5%</f>
        <v>57534.5</v>
      </c>
      <c r="G32" s="61">
        <v>30000</v>
      </c>
      <c r="H32" s="61">
        <f>SUM(E32:G32)</f>
        <v>1238224.5</v>
      </c>
      <c r="I32" s="61">
        <v>0</v>
      </c>
      <c r="J32" s="61">
        <f>SUM(G32:H32)</f>
        <v>1268224.5</v>
      </c>
      <c r="K32" s="61">
        <f>J32/L32</f>
        <v>1268224.5</v>
      </c>
      <c r="L32" s="18">
        <v>1</v>
      </c>
      <c r="M32" s="65">
        <v>2</v>
      </c>
      <c r="N32" s="18">
        <v>3</v>
      </c>
      <c r="O32" s="66">
        <v>45247</v>
      </c>
      <c r="P32" s="67">
        <v>45246</v>
      </c>
      <c r="Q32" s="60" t="str">
        <f>TEXT(O32,"mmmm")</f>
        <v>November</v>
      </c>
      <c r="R32" s="75">
        <f>YEAR(O32)</f>
        <v>2023</v>
      </c>
      <c r="S32" s="18" t="s">
        <v>28</v>
      </c>
      <c r="T32" s="18"/>
      <c r="U32" s="18"/>
      <c r="V32" s="18"/>
      <c r="W32" s="18"/>
      <c r="X32" s="77">
        <f>M32/L32</f>
        <v>2</v>
      </c>
      <c r="Y32" t="str">
        <f>IF(L32&lt;=29,"Hares",IF(L32&lt;=99,"Tigers",IF(L32&lt;=499,"Elephants","Whales")))</f>
        <v>Hares</v>
      </c>
      <c r="Z32" s="53"/>
      <c r="AA32" s="53"/>
      <c r="AB32" s="53"/>
      <c r="AC32" s="53"/>
    </row>
    <row r="33" spans="1:29" ht="15.75" customHeight="1">
      <c r="A33" s="18" t="s">
        <v>65</v>
      </c>
      <c r="B33" s="18" t="s">
        <v>26</v>
      </c>
      <c r="C33" s="60" t="s">
        <v>27</v>
      </c>
      <c r="D33" s="60" t="s">
        <v>27</v>
      </c>
      <c r="E33" s="61">
        <v>620086</v>
      </c>
      <c r="F33" s="61">
        <f>E33*5%</f>
        <v>31004.300000000003</v>
      </c>
      <c r="G33" s="61">
        <v>10000</v>
      </c>
      <c r="H33" s="61">
        <f>SUM(E33:G33)</f>
        <v>661090.30000000005</v>
      </c>
      <c r="I33" s="61">
        <v>0</v>
      </c>
      <c r="J33" s="61">
        <f>SUM(G33:H33)</f>
        <v>671090.3</v>
      </c>
      <c r="K33" s="61">
        <f>J33/L33</f>
        <v>671090.3</v>
      </c>
      <c r="L33" s="18">
        <v>1</v>
      </c>
      <c r="M33" s="65">
        <v>0</v>
      </c>
      <c r="N33" s="18">
        <v>1</v>
      </c>
      <c r="O33" s="66">
        <v>45254</v>
      </c>
      <c r="P33" s="67">
        <v>45253</v>
      </c>
      <c r="Q33" s="60" t="str">
        <f>TEXT(O33,"mmmm")</f>
        <v>November</v>
      </c>
      <c r="R33" s="75">
        <f>YEAR(O33)</f>
        <v>2023</v>
      </c>
      <c r="S33" s="18" t="s">
        <v>28</v>
      </c>
      <c r="T33" s="18"/>
      <c r="U33" s="18"/>
      <c r="V33" s="18"/>
      <c r="W33" s="18"/>
      <c r="X33" s="77">
        <f>M33/L33</f>
        <v>0</v>
      </c>
      <c r="Y33" t="str">
        <f>IF(L33&lt;=29,"Hares",IF(L33&lt;=99,"Tigers",IF(L33&lt;=499,"Elephants","Whales")))</f>
        <v>Hares</v>
      </c>
    </row>
    <row r="34" spans="1:29" ht="15.75" customHeight="1">
      <c r="A34" s="18" t="s">
        <v>66</v>
      </c>
      <c r="B34" s="18" t="s">
        <v>26</v>
      </c>
      <c r="C34" s="60" t="s">
        <v>27</v>
      </c>
      <c r="D34" s="60" t="s">
        <v>27</v>
      </c>
      <c r="E34" s="61">
        <f>2732418+1515425</f>
        <v>4247843</v>
      </c>
      <c r="F34" s="61">
        <f>E34*5%</f>
        <v>212392.15000000002</v>
      </c>
      <c r="G34" s="61">
        <f>60000+70000</f>
        <v>130000</v>
      </c>
      <c r="H34" s="61">
        <f>SUM(E34:G34)</f>
        <v>4590235.1500000004</v>
      </c>
      <c r="I34" s="61">
        <v>0</v>
      </c>
      <c r="J34" s="61">
        <f>SUM(G34:H34)</f>
        <v>4720235.1500000004</v>
      </c>
      <c r="K34" s="61">
        <f>J34/L34</f>
        <v>944047.03</v>
      </c>
      <c r="L34" s="18">
        <v>5</v>
      </c>
      <c r="M34" s="65">
        <v>8</v>
      </c>
      <c r="N34" s="18">
        <f>13</f>
        <v>13</v>
      </c>
      <c r="O34" s="66">
        <v>45272</v>
      </c>
      <c r="P34" s="67">
        <v>45271</v>
      </c>
      <c r="Q34" s="60" t="str">
        <f>TEXT(O34,"mmmm")</f>
        <v>December</v>
      </c>
      <c r="R34" s="75">
        <f>YEAR(O34)</f>
        <v>2023</v>
      </c>
      <c r="S34" s="18" t="s">
        <v>28</v>
      </c>
      <c r="T34" s="18"/>
      <c r="U34" s="18"/>
      <c r="V34" s="18"/>
      <c r="W34" s="18"/>
      <c r="X34" s="77">
        <f>M34/L34</f>
        <v>1.6</v>
      </c>
      <c r="Y34" t="str">
        <f>IF(L34&lt;=29,"Hares",IF(L34&lt;=99,"Tigers",IF(L34&lt;=499,"Elephants","Whales")))</f>
        <v>Hares</v>
      </c>
      <c r="Z34" s="53"/>
      <c r="AA34" s="53"/>
      <c r="AB34" s="53"/>
      <c r="AC34" s="53"/>
    </row>
    <row r="35" spans="1:29" ht="15.75" customHeight="1">
      <c r="A35" s="18" t="s">
        <v>67</v>
      </c>
      <c r="B35" s="18" t="s">
        <v>26</v>
      </c>
      <c r="C35" s="60" t="s">
        <v>27</v>
      </c>
      <c r="D35" s="60" t="s">
        <v>27</v>
      </c>
      <c r="E35" s="61">
        <v>457803</v>
      </c>
      <c r="F35" s="61">
        <f>E35*5%</f>
        <v>22890.15</v>
      </c>
      <c r="G35" s="61">
        <v>10000</v>
      </c>
      <c r="H35" s="61">
        <f>SUM(E35:G35)</f>
        <v>490693.15</v>
      </c>
      <c r="I35" s="61">
        <v>0</v>
      </c>
      <c r="J35" s="61">
        <f>SUM(G35:H35)</f>
        <v>500693.15</v>
      </c>
      <c r="K35" s="61">
        <f>J35/L35</f>
        <v>500693.15</v>
      </c>
      <c r="L35" s="18">
        <v>1</v>
      </c>
      <c r="M35" s="65">
        <v>0</v>
      </c>
      <c r="N35" s="18">
        <v>1</v>
      </c>
      <c r="O35" s="66">
        <v>45273</v>
      </c>
      <c r="P35" s="67">
        <v>45272</v>
      </c>
      <c r="Q35" s="60" t="str">
        <f>TEXT(O35,"mmmm")</f>
        <v>December</v>
      </c>
      <c r="R35" s="75">
        <f>YEAR(O35)</f>
        <v>2023</v>
      </c>
      <c r="S35" s="18" t="s">
        <v>28</v>
      </c>
      <c r="T35" s="18"/>
      <c r="U35" s="18"/>
      <c r="V35" s="18"/>
      <c r="W35" s="18"/>
      <c r="X35" s="77">
        <f>M35/L35</f>
        <v>0</v>
      </c>
      <c r="Y35" t="str">
        <f>IF(L35&lt;=29,"Hares",IF(L35&lt;=99,"Tigers",IF(L35&lt;=499,"Elephants","Whales")))</f>
        <v>Hares</v>
      </c>
    </row>
    <row r="36" spans="1:29" ht="15.75" customHeight="1">
      <c r="A36" s="18" t="s">
        <v>68</v>
      </c>
      <c r="B36" s="18" t="s">
        <v>26</v>
      </c>
      <c r="C36" s="60" t="s">
        <v>27</v>
      </c>
      <c r="D36" s="60" t="s">
        <v>27</v>
      </c>
      <c r="E36" s="61">
        <v>15702822</v>
      </c>
      <c r="F36" s="61">
        <f>E36*5%</f>
        <v>785141.10000000009</v>
      </c>
      <c r="G36" s="61">
        <v>300000</v>
      </c>
      <c r="H36" s="61">
        <f>SUM(E36:G36)</f>
        <v>16787963.100000001</v>
      </c>
      <c r="I36" s="61">
        <v>0</v>
      </c>
      <c r="J36" s="61">
        <f>SUM(G36:H36)</f>
        <v>17087963.100000001</v>
      </c>
      <c r="K36" s="61">
        <f>J36/L36</f>
        <v>1553451.1909090912</v>
      </c>
      <c r="L36" s="18">
        <v>11</v>
      </c>
      <c r="M36" s="65">
        <v>19</v>
      </c>
      <c r="N36" s="18">
        <f>L36+M36</f>
        <v>30</v>
      </c>
      <c r="O36" s="66">
        <v>45287</v>
      </c>
      <c r="P36" s="67">
        <v>45286</v>
      </c>
      <c r="Q36" s="60" t="str">
        <f>TEXT(O36,"mmmm")</f>
        <v>December</v>
      </c>
      <c r="R36" s="75">
        <f>YEAR(O36)</f>
        <v>2023</v>
      </c>
      <c r="S36" s="18" t="s">
        <v>34</v>
      </c>
      <c r="T36" s="18"/>
      <c r="U36" s="18"/>
      <c r="V36" s="18"/>
      <c r="W36" s="18"/>
      <c r="X36" s="77">
        <f>M36/L36</f>
        <v>1.7272727272727273</v>
      </c>
      <c r="Y36" t="str">
        <f>IF(L36&lt;=29,"Hares",IF(L36&lt;=99,"Tigers",IF(L36&lt;=499,"Elephants","Whales")))</f>
        <v>Hares</v>
      </c>
    </row>
    <row r="37" spans="1:29" ht="15.75" customHeight="1">
      <c r="A37" s="18" t="s">
        <v>73</v>
      </c>
      <c r="B37" s="18" t="s">
        <v>26</v>
      </c>
      <c r="C37" s="58" t="s">
        <v>27</v>
      </c>
      <c r="D37" s="58" t="s">
        <v>27</v>
      </c>
      <c r="E37" s="59">
        <v>1405258</v>
      </c>
      <c r="F37" s="59">
        <f>E37*5%</f>
        <v>70262.900000000009</v>
      </c>
      <c r="G37" s="59">
        <v>30000</v>
      </c>
      <c r="H37" s="59">
        <f>SUM(E37:G37)</f>
        <v>1505520.9</v>
      </c>
      <c r="I37" s="59">
        <v>0</v>
      </c>
      <c r="J37" s="59">
        <f>SUM(H37:I37)</f>
        <v>1505520.9</v>
      </c>
      <c r="K37" s="59">
        <f>J37/L37</f>
        <v>501840.3</v>
      </c>
      <c r="L37" s="18">
        <v>3</v>
      </c>
      <c r="M37" s="65">
        <v>0</v>
      </c>
      <c r="N37" s="18">
        <v>3</v>
      </c>
      <c r="O37" s="66">
        <v>45292</v>
      </c>
      <c r="P37" s="67" t="s">
        <v>74</v>
      </c>
      <c r="Q37" s="18" t="str">
        <f>TEXT(O37,"mmmm")</f>
        <v>January</v>
      </c>
      <c r="R37" s="18">
        <f>YEAR(O37)</f>
        <v>2024</v>
      </c>
      <c r="S37" s="18" t="s">
        <v>28</v>
      </c>
      <c r="T37" s="18" t="s">
        <v>28</v>
      </c>
      <c r="U37" s="18"/>
      <c r="V37" s="18"/>
      <c r="W37" s="74">
        <v>45229</v>
      </c>
      <c r="X37" s="58">
        <f>ROUND(M37/L37,2)</f>
        <v>0</v>
      </c>
      <c r="Y37" t="str">
        <f>IF(L37&lt;=29,"Hares",IF(L37&lt;=99,"Tigers",IF(L37&lt;=499,"Elephants","Whales")))</f>
        <v>Hares</v>
      </c>
      <c r="Z37" s="16"/>
      <c r="AA37" s="16"/>
    </row>
    <row r="38" spans="1:29" ht="15.75" customHeight="1">
      <c r="A38" s="18" t="s">
        <v>69</v>
      </c>
      <c r="B38" s="18" t="s">
        <v>26</v>
      </c>
      <c r="C38" s="58" t="s">
        <v>70</v>
      </c>
      <c r="D38" s="58" t="s">
        <v>70</v>
      </c>
      <c r="E38" s="58"/>
      <c r="F38" s="58"/>
      <c r="G38" s="58"/>
      <c r="H38" s="58"/>
      <c r="I38" s="58"/>
      <c r="J38" s="69">
        <v>4284439</v>
      </c>
      <c r="K38" s="59">
        <f>J38/L38</f>
        <v>225496.78947368421</v>
      </c>
      <c r="L38" s="70">
        <v>19</v>
      </c>
      <c r="M38" s="65">
        <v>0</v>
      </c>
      <c r="N38" s="70">
        <v>19</v>
      </c>
      <c r="O38" s="71">
        <v>45292</v>
      </c>
      <c r="P38" s="18" t="s">
        <v>71</v>
      </c>
      <c r="Q38" s="18" t="str">
        <f>TEXT(O38,"mmmm")</f>
        <v>January</v>
      </c>
      <c r="R38" s="18">
        <f>YEAR(O38)</f>
        <v>2024</v>
      </c>
      <c r="S38" s="18" t="s">
        <v>40</v>
      </c>
      <c r="T38" s="18" t="s">
        <v>72</v>
      </c>
      <c r="U38" s="18"/>
      <c r="V38" s="18"/>
      <c r="W38" s="72">
        <v>45261</v>
      </c>
      <c r="X38" s="58">
        <f>ROUND(M38/L38,2)</f>
        <v>0</v>
      </c>
      <c r="Y38" t="str">
        <f>IF(L38&lt;=29,"Hares",IF(L38&lt;=99,"Tigers",IF(L38&lt;=499,"Elephants","Whales")))</f>
        <v>Hares</v>
      </c>
      <c r="Z38" s="53"/>
      <c r="AA38" s="53"/>
      <c r="AB38" s="53"/>
      <c r="AC38" s="53"/>
    </row>
    <row r="39" spans="1:29" ht="15.75" customHeight="1">
      <c r="A39" s="18" t="s">
        <v>76</v>
      </c>
      <c r="B39" s="18" t="s">
        <v>26</v>
      </c>
      <c r="C39" s="58" t="s">
        <v>27</v>
      </c>
      <c r="D39" s="58" t="s">
        <v>27</v>
      </c>
      <c r="E39" s="59">
        <f>943648+3328599</f>
        <v>4272247</v>
      </c>
      <c r="F39" s="59">
        <f>E39*5%</f>
        <v>213612.35</v>
      </c>
      <c r="G39" s="59">
        <v>140000</v>
      </c>
      <c r="H39" s="59">
        <f>SUM(E39:G39)</f>
        <v>4625859.3499999996</v>
      </c>
      <c r="I39" s="59">
        <v>0</v>
      </c>
      <c r="J39" s="59">
        <f>SUM(H39:I39)</f>
        <v>4625859.3499999996</v>
      </c>
      <c r="K39" s="59">
        <f>J39/L39</f>
        <v>578232.41874999995</v>
      </c>
      <c r="L39" s="18">
        <v>8</v>
      </c>
      <c r="M39" s="65">
        <v>2</v>
      </c>
      <c r="N39" s="18">
        <f>SUM(L39:M39)</f>
        <v>10</v>
      </c>
      <c r="O39" s="66">
        <v>45301</v>
      </c>
      <c r="P39" s="67">
        <v>45666</v>
      </c>
      <c r="Q39" s="18" t="str">
        <f>TEXT(O39,"mmmm")</f>
        <v>January</v>
      </c>
      <c r="R39" s="18">
        <f>YEAR(O39)</f>
        <v>2024</v>
      </c>
      <c r="S39" s="18" t="s">
        <v>28</v>
      </c>
      <c r="T39" s="18" t="s">
        <v>28</v>
      </c>
      <c r="U39" s="18"/>
      <c r="V39" s="18"/>
      <c r="W39" s="74">
        <v>45280</v>
      </c>
      <c r="X39" s="58">
        <f>ROUND(M39/L39,2)</f>
        <v>0.25</v>
      </c>
      <c r="Y39" t="str">
        <f>IF(L39&lt;=29,"Hares",IF(L39&lt;=99,"Tigers",IF(L39&lt;=499,"Elephants","Whales")))</f>
        <v>Hares</v>
      </c>
    </row>
    <row r="40" spans="1:29" ht="15.75" customHeight="1">
      <c r="A40" s="18" t="s">
        <v>77</v>
      </c>
      <c r="B40" s="18" t="s">
        <v>26</v>
      </c>
      <c r="C40" s="58" t="s">
        <v>27</v>
      </c>
      <c r="D40" s="58" t="s">
        <v>27</v>
      </c>
      <c r="E40" s="59">
        <v>21256481</v>
      </c>
      <c r="F40" s="59">
        <f>E40*5%</f>
        <v>1062824.05</v>
      </c>
      <c r="G40" s="59">
        <v>590000</v>
      </c>
      <c r="H40" s="59">
        <f>SUM(E40:G40)</f>
        <v>22909305.050000001</v>
      </c>
      <c r="I40" s="59">
        <v>0</v>
      </c>
      <c r="J40" s="59">
        <f>SUM(H40:I40)</f>
        <v>22909305.050000001</v>
      </c>
      <c r="K40" s="59">
        <f>J40/L40</f>
        <v>1041332.0477272727</v>
      </c>
      <c r="L40" s="18">
        <v>22</v>
      </c>
      <c r="M40" s="65">
        <v>37</v>
      </c>
      <c r="N40" s="18">
        <f>SUM(L40:M40)</f>
        <v>59</v>
      </c>
      <c r="O40" s="66">
        <v>45301</v>
      </c>
      <c r="P40" s="67">
        <v>45666</v>
      </c>
      <c r="Q40" s="18" t="str">
        <f>TEXT(O40,"mmmm")</f>
        <v>January</v>
      </c>
      <c r="R40" s="18">
        <f>YEAR(O40)</f>
        <v>2024</v>
      </c>
      <c r="S40" s="18" t="s">
        <v>34</v>
      </c>
      <c r="T40" s="18" t="s">
        <v>78</v>
      </c>
      <c r="U40" s="18"/>
      <c r="V40" s="18"/>
      <c r="W40" s="74">
        <v>45224</v>
      </c>
      <c r="X40" s="58">
        <f>ROUND(M40/L40,2)</f>
        <v>1.68</v>
      </c>
      <c r="Y40" t="str">
        <f>IF(L40&lt;=29,"Hares",IF(L40&lt;=99,"Tigers",IF(L40&lt;=499,"Elephants","Whales")))</f>
        <v>Hares</v>
      </c>
    </row>
    <row r="41" spans="1:29" ht="15.75" customHeight="1">
      <c r="A41" s="18" t="s">
        <v>75</v>
      </c>
      <c r="B41" s="18" t="s">
        <v>26</v>
      </c>
      <c r="C41" s="58" t="s">
        <v>27</v>
      </c>
      <c r="D41" s="58" t="s">
        <v>27</v>
      </c>
      <c r="E41" s="59">
        <v>1699519</v>
      </c>
      <c r="F41" s="59">
        <f>E41*5%</f>
        <v>84975.950000000012</v>
      </c>
      <c r="G41" s="59">
        <v>40000</v>
      </c>
      <c r="H41" s="59">
        <f>SUM(E41:G41)</f>
        <v>1824494.95</v>
      </c>
      <c r="I41" s="59">
        <v>0</v>
      </c>
      <c r="J41" s="59">
        <f>SUM(H41:I41)</f>
        <v>1824494.95</v>
      </c>
      <c r="K41" s="59">
        <f>J41/L41</f>
        <v>1824494.95</v>
      </c>
      <c r="L41" s="18">
        <v>1</v>
      </c>
      <c r="M41" s="65">
        <v>3</v>
      </c>
      <c r="N41" s="18">
        <f>SUM(L41:M41)</f>
        <v>4</v>
      </c>
      <c r="O41" s="66">
        <v>45301</v>
      </c>
      <c r="P41" s="67">
        <v>45666</v>
      </c>
      <c r="Q41" s="18" t="str">
        <f>TEXT(O41,"mmmm")</f>
        <v>January</v>
      </c>
      <c r="R41" s="18">
        <f>YEAR(O41)</f>
        <v>2024</v>
      </c>
      <c r="S41" s="18" t="s">
        <v>28</v>
      </c>
      <c r="T41" s="18" t="s">
        <v>28</v>
      </c>
      <c r="U41" s="18"/>
      <c r="V41" s="18"/>
      <c r="W41" s="74">
        <v>45273</v>
      </c>
      <c r="X41" s="58">
        <f>ROUND(M41/L41,2)</f>
        <v>3</v>
      </c>
      <c r="Y41" t="str">
        <f>IF(L41&lt;=29,"Hares",IF(L41&lt;=99,"Tigers",IF(L41&lt;=499,"Elephants","Whales")))</f>
        <v>Hares</v>
      </c>
      <c r="Z41" s="53"/>
      <c r="AA41" s="53"/>
      <c r="AB41" s="53"/>
      <c r="AC41" s="53"/>
    </row>
    <row r="42" spans="1:29" ht="15.75" customHeight="1">
      <c r="A42" s="18" t="s">
        <v>79</v>
      </c>
      <c r="B42" s="18" t="s">
        <v>26</v>
      </c>
      <c r="C42" s="58" t="s">
        <v>27</v>
      </c>
      <c r="D42" s="58" t="s">
        <v>27</v>
      </c>
      <c r="E42" s="59">
        <v>2731792</v>
      </c>
      <c r="F42" s="59">
        <f>E42*5%</f>
        <v>136589.6</v>
      </c>
      <c r="G42" s="59">
        <v>50000</v>
      </c>
      <c r="H42" s="59">
        <f>SUM(E42:G42)</f>
        <v>2918381.6</v>
      </c>
      <c r="I42" s="59">
        <v>0</v>
      </c>
      <c r="J42" s="59">
        <f>SUM(H42:I42)</f>
        <v>2918381.6</v>
      </c>
      <c r="K42" s="59">
        <f>J42/L42</f>
        <v>2918381.6</v>
      </c>
      <c r="L42" s="18">
        <v>1</v>
      </c>
      <c r="M42" s="65">
        <v>4</v>
      </c>
      <c r="N42" s="18">
        <f>SUM(L42:M42)</f>
        <v>5</v>
      </c>
      <c r="O42" s="66">
        <v>45304</v>
      </c>
      <c r="P42" s="67">
        <v>45669</v>
      </c>
      <c r="Q42" s="18" t="str">
        <f>TEXT(O42,"mmmm")</f>
        <v>January</v>
      </c>
      <c r="R42" s="18">
        <f>YEAR(O42)</f>
        <v>2024</v>
      </c>
      <c r="S42" s="18" t="s">
        <v>28</v>
      </c>
      <c r="T42" s="18" t="s">
        <v>28</v>
      </c>
      <c r="U42" s="18"/>
      <c r="V42" s="18"/>
      <c r="W42" s="74">
        <v>45287</v>
      </c>
      <c r="X42" s="58">
        <f>ROUND(M42/L42,2)</f>
        <v>4</v>
      </c>
      <c r="Y42" t="str">
        <f>IF(L42&lt;=29,"Hares",IF(L42&lt;=99,"Tigers",IF(L42&lt;=499,"Elephants","Whales")))</f>
        <v>Hares</v>
      </c>
    </row>
    <row r="43" spans="1:29" ht="15.75" customHeight="1">
      <c r="A43" s="18" t="s">
        <v>80</v>
      </c>
      <c r="B43" s="18" t="s">
        <v>26</v>
      </c>
      <c r="C43" s="58" t="s">
        <v>27</v>
      </c>
      <c r="D43" s="58" t="s">
        <v>27</v>
      </c>
      <c r="E43" s="59">
        <v>457803</v>
      </c>
      <c r="F43" s="59">
        <f>E43*5%</f>
        <v>22890.15</v>
      </c>
      <c r="G43" s="59">
        <v>10000</v>
      </c>
      <c r="H43" s="59">
        <f>SUM(E43:G43)</f>
        <v>490693.15</v>
      </c>
      <c r="I43" s="59">
        <v>0</v>
      </c>
      <c r="J43" s="59">
        <f>SUM(H43:I43)</f>
        <v>490693.15</v>
      </c>
      <c r="K43" s="59">
        <f>J43/L43</f>
        <v>490693.15</v>
      </c>
      <c r="L43" s="18">
        <v>1</v>
      </c>
      <c r="M43" s="65">
        <v>0</v>
      </c>
      <c r="N43" s="18">
        <f>SUM(L43:M43)</f>
        <v>1</v>
      </c>
      <c r="O43" s="66">
        <v>45316</v>
      </c>
      <c r="P43" s="67">
        <v>45681</v>
      </c>
      <c r="Q43" s="18" t="str">
        <f>TEXT(O43,"mmmm")</f>
        <v>January</v>
      </c>
      <c r="R43" s="18">
        <f>YEAR(O43)</f>
        <v>2024</v>
      </c>
      <c r="S43" s="18" t="s">
        <v>28</v>
      </c>
      <c r="T43" s="18" t="s">
        <v>81</v>
      </c>
      <c r="U43" s="18" t="s">
        <v>30</v>
      </c>
      <c r="V43" s="51" t="s">
        <v>82</v>
      </c>
      <c r="W43" s="74">
        <v>45244</v>
      </c>
      <c r="X43" s="58">
        <f>ROUND(M43/L43,2)</f>
        <v>0</v>
      </c>
      <c r="Y43" t="str">
        <f>IF(L43&lt;=29,"Hares",IF(L43&lt;=99,"Tigers",IF(L43&lt;=499,"Elephants","Whales")))</f>
        <v>Hares</v>
      </c>
      <c r="Z43" s="53"/>
      <c r="AA43" s="53"/>
      <c r="AB43" s="53"/>
      <c r="AC43" s="53"/>
    </row>
    <row r="44" spans="1:29" ht="15.75" customHeight="1">
      <c r="A44" s="18" t="s">
        <v>83</v>
      </c>
      <c r="B44" s="18" t="s">
        <v>26</v>
      </c>
      <c r="C44" s="58" t="s">
        <v>70</v>
      </c>
      <c r="D44" s="58" t="s">
        <v>70</v>
      </c>
      <c r="E44" s="58"/>
      <c r="F44" s="58"/>
      <c r="G44" s="58"/>
      <c r="H44" s="58"/>
      <c r="I44" s="58"/>
      <c r="J44" s="69">
        <v>1125000</v>
      </c>
      <c r="K44" s="59">
        <f>J44/L44</f>
        <v>225000</v>
      </c>
      <c r="L44" s="70">
        <v>5</v>
      </c>
      <c r="M44" s="65">
        <v>0</v>
      </c>
      <c r="N44" s="70">
        <v>5</v>
      </c>
      <c r="O44" s="71">
        <v>45327</v>
      </c>
      <c r="P44" s="72">
        <v>45477</v>
      </c>
      <c r="Q44" s="18" t="str">
        <f>TEXT(O44,"mmmm")</f>
        <v>February</v>
      </c>
      <c r="R44" s="18">
        <f>YEAR(O44)</f>
        <v>2024</v>
      </c>
      <c r="S44" s="18" t="s">
        <v>28</v>
      </c>
      <c r="T44" s="18" t="s">
        <v>29</v>
      </c>
      <c r="U44" s="18" t="s">
        <v>30</v>
      </c>
      <c r="V44" s="51" t="s">
        <v>31</v>
      </c>
      <c r="W44" s="72">
        <v>45265</v>
      </c>
      <c r="X44" s="58">
        <f>ROUND(M44/L44,2)</f>
        <v>0</v>
      </c>
      <c r="Y44" t="str">
        <f>IF(L44&lt;=29,"Hares",IF(L44&lt;=99,"Tigers",IF(L44&lt;=499,"Elephants","Whales")))</f>
        <v>Hares</v>
      </c>
    </row>
    <row r="45" spans="1:29" ht="15.75" customHeight="1">
      <c r="A45" s="18" t="s">
        <v>84</v>
      </c>
      <c r="B45" s="18" t="s">
        <v>26</v>
      </c>
      <c r="C45" s="58" t="s">
        <v>27</v>
      </c>
      <c r="D45" s="58" t="s">
        <v>27</v>
      </c>
      <c r="E45" s="59">
        <v>582697</v>
      </c>
      <c r="F45" s="59">
        <f>E45*5%</f>
        <v>29134.850000000002</v>
      </c>
      <c r="G45" s="59">
        <v>10000</v>
      </c>
      <c r="H45" s="59">
        <f>SUM(E45:G45)</f>
        <v>621831.85</v>
      </c>
      <c r="I45" s="59">
        <v>0</v>
      </c>
      <c r="J45" s="59">
        <f>SUM(H45:I45)</f>
        <v>621831.85</v>
      </c>
      <c r="K45" s="59">
        <f>J45/L45</f>
        <v>621831.85</v>
      </c>
      <c r="L45" s="18">
        <v>1</v>
      </c>
      <c r="M45" s="65">
        <v>0</v>
      </c>
      <c r="N45" s="18">
        <f>SUM(L45:M45)</f>
        <v>1</v>
      </c>
      <c r="O45" s="66">
        <v>45327</v>
      </c>
      <c r="P45" s="67">
        <v>45692</v>
      </c>
      <c r="Q45" s="18" t="str">
        <f>TEXT(O45,"mmmm")</f>
        <v>February</v>
      </c>
      <c r="R45" s="18">
        <f>YEAR(O45)</f>
        <v>2024</v>
      </c>
      <c r="S45" s="18" t="s">
        <v>28</v>
      </c>
      <c r="T45" s="18" t="s">
        <v>85</v>
      </c>
      <c r="U45" s="18" t="s">
        <v>30</v>
      </c>
      <c r="V45" s="51" t="s">
        <v>86</v>
      </c>
      <c r="W45" s="74">
        <v>45296</v>
      </c>
      <c r="X45" s="58">
        <f>ROUND(M45/L45,2)</f>
        <v>0</v>
      </c>
      <c r="Y45" t="str">
        <f>IF(L45&lt;=29,"Hares",IF(L45&lt;=99,"Tigers",IF(L45&lt;=499,"Elephants","Whales")))</f>
        <v>Hares</v>
      </c>
      <c r="Z45" s="53"/>
      <c r="AA45" s="53"/>
      <c r="AB45" s="53"/>
      <c r="AC45" s="53"/>
    </row>
    <row r="46" spans="1:29" ht="15.75" customHeight="1">
      <c r="A46" s="18" t="s">
        <v>87</v>
      </c>
      <c r="B46" s="18" t="s">
        <v>26</v>
      </c>
      <c r="C46" s="58" t="s">
        <v>27</v>
      </c>
      <c r="D46" s="58" t="s">
        <v>27</v>
      </c>
      <c r="E46" s="59">
        <v>11388150</v>
      </c>
      <c r="F46" s="59">
        <f>E46*5%</f>
        <v>569407.5</v>
      </c>
      <c r="G46" s="59">
        <v>200000</v>
      </c>
      <c r="H46" s="59">
        <f>SUM(E46:G46)</f>
        <v>12157557.5</v>
      </c>
      <c r="I46" s="59">
        <v>0</v>
      </c>
      <c r="J46" s="59">
        <f>SUM(H46:I46)</f>
        <v>12157557.5</v>
      </c>
      <c r="K46" s="59">
        <f>J46/L46</f>
        <v>1350839.7222222222</v>
      </c>
      <c r="L46" s="18">
        <v>9</v>
      </c>
      <c r="M46" s="65">
        <v>11</v>
      </c>
      <c r="N46" s="18">
        <f>SUM(L46:M46)</f>
        <v>20</v>
      </c>
      <c r="O46" s="66">
        <v>45328</v>
      </c>
      <c r="P46" s="67">
        <v>45693</v>
      </c>
      <c r="Q46" s="18" t="str">
        <f>TEXT(O46,"mmmm")</f>
        <v>February</v>
      </c>
      <c r="R46" s="18">
        <f>YEAR(O46)</f>
        <v>2024</v>
      </c>
      <c r="S46" s="18" t="s">
        <v>28</v>
      </c>
      <c r="T46" s="18" t="s">
        <v>81</v>
      </c>
      <c r="U46" s="18" t="s">
        <v>30</v>
      </c>
      <c r="V46" s="51" t="s">
        <v>82</v>
      </c>
      <c r="W46" s="74">
        <v>45200</v>
      </c>
      <c r="X46" s="58">
        <f>ROUND(M46/L46,2)</f>
        <v>1.22</v>
      </c>
      <c r="Y46" t="str">
        <f>IF(L46&lt;=29,"Hares",IF(L46&lt;=99,"Tigers",IF(L46&lt;=499,"Elephants","Whales")))</f>
        <v>Hares</v>
      </c>
    </row>
    <row r="47" spans="1:29" ht="15.75" customHeight="1">
      <c r="A47" s="18" t="s">
        <v>89</v>
      </c>
      <c r="B47" s="18" t="s">
        <v>38</v>
      </c>
      <c r="C47" s="58" t="s">
        <v>27</v>
      </c>
      <c r="D47" s="58" t="s">
        <v>27</v>
      </c>
      <c r="E47" s="59">
        <f>2713988+6580490</f>
        <v>9294478</v>
      </c>
      <c r="F47" s="59">
        <f>E47*5%</f>
        <v>464723.9</v>
      </c>
      <c r="G47" s="59">
        <f>260000+600000</f>
        <v>860000</v>
      </c>
      <c r="H47" s="59">
        <f>SUM(E47:G47)</f>
        <v>10619201.9</v>
      </c>
      <c r="I47" s="59">
        <f>4613600+5416000</f>
        <v>10029600</v>
      </c>
      <c r="J47" s="59">
        <f>SUM(H47:I47)</f>
        <v>20648801.899999999</v>
      </c>
      <c r="K47" s="59">
        <f>J47/L47</f>
        <v>135847.38092105262</v>
      </c>
      <c r="L47" s="18">
        <f>32+120</f>
        <v>152</v>
      </c>
      <c r="M47" s="65">
        <v>0</v>
      </c>
      <c r="N47" s="18">
        <f>SUM(L47:M47)</f>
        <v>152</v>
      </c>
      <c r="O47" s="66">
        <v>45331</v>
      </c>
      <c r="P47" s="67">
        <v>45696</v>
      </c>
      <c r="Q47" s="18" t="str">
        <f>TEXT(O47,"mmmm")</f>
        <v>February</v>
      </c>
      <c r="R47" s="18">
        <f>YEAR(O47)</f>
        <v>2024</v>
      </c>
      <c r="S47" s="18" t="s">
        <v>28</v>
      </c>
      <c r="T47" s="18" t="s">
        <v>28</v>
      </c>
      <c r="U47" s="18"/>
      <c r="V47" s="18"/>
      <c r="W47" s="74">
        <v>45244</v>
      </c>
      <c r="X47" s="58">
        <f>ROUND(M47/L47,2)</f>
        <v>0</v>
      </c>
      <c r="Y47" t="str">
        <f>IF(L47&lt;=29,"Hares",IF(L47&lt;=99,"Tigers",IF(L47&lt;=499,"Elephants","Whales")))</f>
        <v>Elephants</v>
      </c>
    </row>
    <row r="48" spans="1:29" ht="15.75" customHeight="1">
      <c r="A48" s="18" t="s">
        <v>88</v>
      </c>
      <c r="B48" s="18" t="s">
        <v>26</v>
      </c>
      <c r="C48" s="58" t="s">
        <v>27</v>
      </c>
      <c r="D48" s="58" t="s">
        <v>27</v>
      </c>
      <c r="E48" s="59">
        <v>2920457</v>
      </c>
      <c r="F48" s="59">
        <f>E48*5%</f>
        <v>146022.85</v>
      </c>
      <c r="G48" s="59">
        <v>60000</v>
      </c>
      <c r="H48" s="59">
        <f>SUM(E48:G48)</f>
        <v>3126479.85</v>
      </c>
      <c r="I48" s="59">
        <v>0</v>
      </c>
      <c r="J48" s="59">
        <f>SUM(H48:I48)</f>
        <v>3126479.85</v>
      </c>
      <c r="K48" s="59">
        <f>J48/L48</f>
        <v>521079.97500000003</v>
      </c>
      <c r="L48" s="18">
        <v>6</v>
      </c>
      <c r="M48" s="65">
        <v>0</v>
      </c>
      <c r="N48" s="18">
        <f>SUM(L48:M48)</f>
        <v>6</v>
      </c>
      <c r="O48" s="66">
        <v>45331</v>
      </c>
      <c r="P48" s="67">
        <v>45696</v>
      </c>
      <c r="Q48" s="18" t="str">
        <f>TEXT(O48,"mmmm")</f>
        <v>February</v>
      </c>
      <c r="R48" s="18">
        <f>YEAR(O48)</f>
        <v>2024</v>
      </c>
      <c r="S48" s="18" t="s">
        <v>28</v>
      </c>
      <c r="T48" s="18" t="s">
        <v>29</v>
      </c>
      <c r="U48" s="18" t="s">
        <v>30</v>
      </c>
      <c r="V48" s="51" t="s">
        <v>31</v>
      </c>
      <c r="W48" s="74">
        <v>45208</v>
      </c>
      <c r="X48" s="58">
        <f>ROUND(M48/L48,2)</f>
        <v>0</v>
      </c>
      <c r="Y48" t="str">
        <f>IF(L48&lt;=29,"Hares",IF(L48&lt;=99,"Tigers",IF(L48&lt;=499,"Elephants","Whales")))</f>
        <v>Hares</v>
      </c>
      <c r="Z48" s="53"/>
      <c r="AA48" s="53"/>
      <c r="AB48" s="53"/>
      <c r="AC48" s="53"/>
    </row>
    <row r="49" spans="1:29" ht="15.75" customHeight="1">
      <c r="A49" s="18" t="s">
        <v>32</v>
      </c>
      <c r="B49" s="18" t="s">
        <v>90</v>
      </c>
      <c r="C49" s="58" t="s">
        <v>27</v>
      </c>
      <c r="D49" s="51" t="s">
        <v>91</v>
      </c>
      <c r="E49" s="59">
        <v>25054849</v>
      </c>
      <c r="F49" s="59">
        <f>E49*5%</f>
        <v>1252742.45</v>
      </c>
      <c r="G49" s="59">
        <v>335000</v>
      </c>
      <c r="H49" s="59">
        <f>SUM(E49:G49)</f>
        <v>26642591.449999999</v>
      </c>
      <c r="I49" s="59">
        <v>0</v>
      </c>
      <c r="J49" s="59">
        <f>SUM(H49:I49)</f>
        <v>26642591.449999999</v>
      </c>
      <c r="K49" s="59">
        <f>J49/L49</f>
        <v>832580.98281249998</v>
      </c>
      <c r="L49" s="18">
        <v>32</v>
      </c>
      <c r="M49" s="65">
        <f>67-32</f>
        <v>35</v>
      </c>
      <c r="N49" s="18">
        <f>SUM(L49:M49)</f>
        <v>67</v>
      </c>
      <c r="O49" s="66">
        <v>45336</v>
      </c>
      <c r="P49" s="67">
        <v>45701</v>
      </c>
      <c r="Q49" s="18" t="str">
        <f>TEXT(O49,"mmmm")</f>
        <v>February</v>
      </c>
      <c r="R49" s="18">
        <f>YEAR(O49)</f>
        <v>2024</v>
      </c>
      <c r="S49" s="18" t="s">
        <v>28</v>
      </c>
      <c r="T49" s="18" t="s">
        <v>85</v>
      </c>
      <c r="U49" s="18" t="s">
        <v>30</v>
      </c>
      <c r="V49" s="51" t="s">
        <v>86</v>
      </c>
      <c r="W49" s="74">
        <v>45301</v>
      </c>
      <c r="X49" s="58">
        <f>ROUND(M49/L49,2)</f>
        <v>1.0900000000000001</v>
      </c>
      <c r="Y49" t="str">
        <f>IF(L49&lt;=29,"Hares",IF(L49&lt;=99,"Tigers",IF(L49&lt;=499,"Elephants","Whales")))</f>
        <v>Tigers</v>
      </c>
    </row>
    <row r="50" spans="1:29" ht="15.75" customHeight="1">
      <c r="A50" s="18" t="s">
        <v>92</v>
      </c>
      <c r="B50" s="18" t="s">
        <v>26</v>
      </c>
      <c r="C50" s="58" t="s">
        <v>27</v>
      </c>
      <c r="D50" s="58" t="s">
        <v>27</v>
      </c>
      <c r="E50" s="59">
        <v>673775</v>
      </c>
      <c r="F50" s="59">
        <f>E50*5%</f>
        <v>33688.75</v>
      </c>
      <c r="G50" s="59">
        <v>10000</v>
      </c>
      <c r="H50" s="59">
        <f>SUM(E50:G50)</f>
        <v>717463.75</v>
      </c>
      <c r="I50" s="59">
        <v>0</v>
      </c>
      <c r="J50" s="59">
        <f>SUM(H50:I50)</f>
        <v>717463.75</v>
      </c>
      <c r="K50" s="59">
        <f>J50/L50</f>
        <v>717463.75</v>
      </c>
      <c r="L50" s="18">
        <v>1</v>
      </c>
      <c r="M50" s="65">
        <v>0</v>
      </c>
      <c r="N50" s="18">
        <f>SUM(L50:M50)</f>
        <v>1</v>
      </c>
      <c r="O50" s="66">
        <v>45337</v>
      </c>
      <c r="P50" s="67">
        <v>45702</v>
      </c>
      <c r="Q50" s="18" t="str">
        <f>TEXT(O50,"mmmm")</f>
        <v>February</v>
      </c>
      <c r="R50" s="18">
        <f>YEAR(O50)</f>
        <v>2024</v>
      </c>
      <c r="S50" s="18" t="s">
        <v>28</v>
      </c>
      <c r="T50" s="18" t="s">
        <v>28</v>
      </c>
      <c r="U50" s="18"/>
      <c r="V50" s="18"/>
      <c r="W50" s="74">
        <v>45209</v>
      </c>
      <c r="X50" s="58">
        <f>ROUND(M50/L50,2)</f>
        <v>0</v>
      </c>
      <c r="Y50" t="str">
        <f>IF(L50&lt;=29,"Hares",IF(L50&lt;=99,"Tigers",IF(L50&lt;=499,"Elephants","Whales")))</f>
        <v>Hares</v>
      </c>
    </row>
    <row r="51" spans="1:29" ht="15.75" customHeight="1">
      <c r="A51" s="18" t="s">
        <v>93</v>
      </c>
      <c r="B51" s="18" t="s">
        <v>26</v>
      </c>
      <c r="C51" s="58" t="s">
        <v>27</v>
      </c>
      <c r="D51" s="58" t="s">
        <v>27</v>
      </c>
      <c r="E51" s="59">
        <v>22693363</v>
      </c>
      <c r="F51" s="59">
        <f>E51*5%</f>
        <v>1134668.1500000001</v>
      </c>
      <c r="G51" s="59">
        <v>720000</v>
      </c>
      <c r="H51" s="59">
        <f>SUM(E51:G51)</f>
        <v>24548031.149999999</v>
      </c>
      <c r="I51" s="59">
        <v>0</v>
      </c>
      <c r="J51" s="59">
        <f>SUM(H51:I51)</f>
        <v>24548031.149999999</v>
      </c>
      <c r="K51" s="59">
        <f>J51/L51</f>
        <v>454593.16944444441</v>
      </c>
      <c r="L51" s="18">
        <v>54</v>
      </c>
      <c r="M51" s="65">
        <f>72-54</f>
        <v>18</v>
      </c>
      <c r="N51" s="18">
        <f>SUM(L51:M51)</f>
        <v>72</v>
      </c>
      <c r="O51" s="66">
        <v>45344</v>
      </c>
      <c r="P51" s="67">
        <v>45709</v>
      </c>
      <c r="Q51" s="18" t="str">
        <f>TEXT(O51,"mmmm")</f>
        <v>February</v>
      </c>
      <c r="R51" s="18">
        <f>YEAR(O51)</f>
        <v>2024</v>
      </c>
      <c r="S51" s="18" t="s">
        <v>28</v>
      </c>
      <c r="T51" s="18" t="s">
        <v>85</v>
      </c>
      <c r="U51" s="18" t="s">
        <v>30</v>
      </c>
      <c r="V51" s="51" t="s">
        <v>86</v>
      </c>
      <c r="W51" s="74">
        <v>45297</v>
      </c>
      <c r="X51" s="58">
        <f>ROUND(M51/L51,2)</f>
        <v>0.33</v>
      </c>
      <c r="Y51" t="str">
        <f>IF(L51&lt;=29,"Hares",IF(L51&lt;=99,"Tigers",IF(L51&lt;=499,"Elephants","Whales")))</f>
        <v>Tigers</v>
      </c>
    </row>
    <row r="52" spans="1:29" ht="15.75" customHeight="1">
      <c r="A52" s="18" t="s">
        <v>94</v>
      </c>
      <c r="B52" s="18" t="s">
        <v>26</v>
      </c>
      <c r="C52" s="58" t="s">
        <v>27</v>
      </c>
      <c r="D52" s="58" t="s">
        <v>27</v>
      </c>
      <c r="E52" s="59">
        <f>1039872+1855441</f>
        <v>2895313</v>
      </c>
      <c r="F52" s="59">
        <f>E52*5%</f>
        <v>144765.65</v>
      </c>
      <c r="G52" s="59">
        <v>60000</v>
      </c>
      <c r="H52" s="59">
        <f>SUM(E52:G52)</f>
        <v>3100078.65</v>
      </c>
      <c r="I52" s="59"/>
      <c r="J52" s="59">
        <f>SUM(H52:I52)</f>
        <v>3100078.65</v>
      </c>
      <c r="K52" s="59">
        <f>J52/L52</f>
        <v>516679.77499999997</v>
      </c>
      <c r="L52" s="18">
        <v>6</v>
      </c>
      <c r="M52" s="65">
        <v>0</v>
      </c>
      <c r="N52" s="18">
        <f>SUM(L52:M52)</f>
        <v>6</v>
      </c>
      <c r="O52" s="66">
        <v>45350</v>
      </c>
      <c r="P52" s="67">
        <v>45715</v>
      </c>
      <c r="Q52" s="18" t="str">
        <f>TEXT(O52,"mmmm")</f>
        <v>February</v>
      </c>
      <c r="R52" s="18">
        <f>YEAR(O52)</f>
        <v>2024</v>
      </c>
      <c r="S52" s="18" t="s">
        <v>28</v>
      </c>
      <c r="T52" s="18" t="s">
        <v>29</v>
      </c>
      <c r="U52" s="18" t="s">
        <v>30</v>
      </c>
      <c r="V52" s="51" t="s">
        <v>31</v>
      </c>
      <c r="W52" s="74">
        <v>45335</v>
      </c>
      <c r="X52" s="58">
        <f>ROUND(M52/L52,2)</f>
        <v>0</v>
      </c>
      <c r="Y52" t="str">
        <f>IF(L52&lt;=29,"Hares",IF(L52&lt;=99,"Tigers",IF(L52&lt;=499,"Elephants","Whales")))</f>
        <v>Hares</v>
      </c>
    </row>
    <row r="53" spans="1:29" ht="15.75" customHeight="1">
      <c r="A53" s="18" t="s">
        <v>95</v>
      </c>
      <c r="B53" s="18" t="s">
        <v>26</v>
      </c>
      <c r="C53" s="58" t="s">
        <v>27</v>
      </c>
      <c r="D53" s="58" t="s">
        <v>27</v>
      </c>
      <c r="E53" s="59">
        <v>379939</v>
      </c>
      <c r="F53" s="59">
        <f>E53*5%</f>
        <v>18996.95</v>
      </c>
      <c r="G53" s="59">
        <v>10000</v>
      </c>
      <c r="H53" s="59">
        <f>SUM(E53:G53)</f>
        <v>408935.95</v>
      </c>
      <c r="I53" s="59">
        <v>0</v>
      </c>
      <c r="J53" s="59">
        <f>SUM(H53:I53)</f>
        <v>408935.95</v>
      </c>
      <c r="K53" s="59">
        <f>J53/L53</f>
        <v>408935.95</v>
      </c>
      <c r="L53" s="18">
        <v>1</v>
      </c>
      <c r="M53" s="65">
        <v>0</v>
      </c>
      <c r="N53" s="18">
        <f>SUM(L53:M53)</f>
        <v>1</v>
      </c>
      <c r="O53" s="66">
        <v>45356</v>
      </c>
      <c r="P53" s="67">
        <v>45720</v>
      </c>
      <c r="Q53" s="18" t="str">
        <f>TEXT(O53,"mmmm")</f>
        <v>March</v>
      </c>
      <c r="R53" s="18">
        <f>YEAR(O53)</f>
        <v>2024</v>
      </c>
      <c r="S53" s="18" t="s">
        <v>28</v>
      </c>
      <c r="T53" s="18" t="s">
        <v>28</v>
      </c>
      <c r="U53" s="18"/>
      <c r="V53" s="18"/>
      <c r="W53" s="74">
        <v>45356</v>
      </c>
      <c r="X53" s="58">
        <f>ROUND(M53/L53,2)</f>
        <v>0</v>
      </c>
      <c r="Y53" t="str">
        <f>IF(L53&lt;=29,"Hares",IF(L53&lt;=99,"Tigers",IF(L53&lt;=499,"Elephants","Whales")))</f>
        <v>Hares</v>
      </c>
    </row>
    <row r="54" spans="1:29" ht="15.75" customHeight="1">
      <c r="A54" s="18" t="s">
        <v>35</v>
      </c>
      <c r="B54" s="18" t="s">
        <v>90</v>
      </c>
      <c r="C54" s="58" t="s">
        <v>27</v>
      </c>
      <c r="D54" s="51" t="s">
        <v>91</v>
      </c>
      <c r="E54" s="59">
        <v>34306666</v>
      </c>
      <c r="F54" s="59">
        <f>E54*5%</f>
        <v>1715333.3</v>
      </c>
      <c r="G54" s="59">
        <v>0</v>
      </c>
      <c r="H54" s="59">
        <f>SUM(E54:G54)</f>
        <v>36021999.299999997</v>
      </c>
      <c r="I54" s="59">
        <v>0</v>
      </c>
      <c r="J54" s="59">
        <f>SUM(H54:I54)</f>
        <v>36021999.299999997</v>
      </c>
      <c r="K54" s="59">
        <f>J54/L54</f>
        <v>1000611.0916666666</v>
      </c>
      <c r="L54" s="18">
        <v>36</v>
      </c>
      <c r="M54" s="65">
        <f>105-36</f>
        <v>69</v>
      </c>
      <c r="N54" s="18">
        <f>SUM(L54:M54)</f>
        <v>105</v>
      </c>
      <c r="O54" s="66">
        <v>45359</v>
      </c>
      <c r="P54" s="67">
        <v>45723</v>
      </c>
      <c r="Q54" s="18" t="str">
        <f>TEXT(O54,"mmmm")</f>
        <v>March</v>
      </c>
      <c r="R54" s="18">
        <f>YEAR(O54)</f>
        <v>2024</v>
      </c>
      <c r="S54" s="18" t="s">
        <v>28</v>
      </c>
      <c r="T54" s="18" t="s">
        <v>85</v>
      </c>
      <c r="U54" s="18" t="s">
        <v>30</v>
      </c>
      <c r="V54" s="51" t="s">
        <v>86</v>
      </c>
      <c r="W54" s="74">
        <v>45328</v>
      </c>
      <c r="X54" s="58">
        <f>ROUND(M54/L54,2)</f>
        <v>1.92</v>
      </c>
      <c r="Y54" t="str">
        <f>IF(L54&lt;=29,"Hares",IF(L54&lt;=99,"Tigers",IF(L54&lt;=499,"Elephants","Whales")))</f>
        <v>Tigers</v>
      </c>
    </row>
    <row r="55" spans="1:29" ht="15.75" customHeight="1">
      <c r="A55" s="18" t="s">
        <v>96</v>
      </c>
      <c r="B55" s="18" t="s">
        <v>26</v>
      </c>
      <c r="C55" s="58" t="s">
        <v>27</v>
      </c>
      <c r="D55" s="58" t="s">
        <v>27</v>
      </c>
      <c r="E55" s="59">
        <v>17137620</v>
      </c>
      <c r="F55" s="59">
        <f>E55*5%</f>
        <v>856881</v>
      </c>
      <c r="G55" s="59">
        <v>480000</v>
      </c>
      <c r="H55" s="59">
        <f>SUM(E55:G55)</f>
        <v>18474501</v>
      </c>
      <c r="I55" s="59">
        <v>0</v>
      </c>
      <c r="J55" s="59">
        <f>SUM(H55:I55)</f>
        <v>18474501</v>
      </c>
      <c r="K55" s="59">
        <f>J55/L55</f>
        <v>1539541.75</v>
      </c>
      <c r="L55" s="18">
        <v>12</v>
      </c>
      <c r="M55" s="65">
        <v>36</v>
      </c>
      <c r="N55" s="18">
        <f>SUM(L55:M55)</f>
        <v>48</v>
      </c>
      <c r="O55" s="66">
        <v>45361</v>
      </c>
      <c r="P55" s="67">
        <v>45725</v>
      </c>
      <c r="Q55" s="18" t="str">
        <f>TEXT(O55,"mmmm")</f>
        <v>March</v>
      </c>
      <c r="R55" s="18">
        <f>YEAR(O55)</f>
        <v>2024</v>
      </c>
      <c r="S55" s="18" t="s">
        <v>28</v>
      </c>
      <c r="T55" s="18" t="s">
        <v>81</v>
      </c>
      <c r="U55" s="18" t="s">
        <v>30</v>
      </c>
      <c r="V55" s="51" t="s">
        <v>82</v>
      </c>
      <c r="W55" s="74">
        <v>45348</v>
      </c>
      <c r="X55" s="58">
        <f>ROUND(M55/L55,2)</f>
        <v>3</v>
      </c>
      <c r="Y55" t="str">
        <f>IF(L55&lt;=29,"Hares",IF(L55&lt;=99,"Tigers",IF(L55&lt;=499,"Elephants","Whales")))</f>
        <v>Hares</v>
      </c>
    </row>
    <row r="56" spans="1:29" ht="15.75" customHeight="1">
      <c r="A56" s="18" t="s">
        <v>97</v>
      </c>
      <c r="B56" s="62" t="s">
        <v>26</v>
      </c>
      <c r="C56" s="58" t="s">
        <v>70</v>
      </c>
      <c r="D56" s="58" t="s">
        <v>70</v>
      </c>
      <c r="E56" s="58"/>
      <c r="F56" s="58"/>
      <c r="G56" s="58"/>
      <c r="H56" s="58"/>
      <c r="I56" s="58"/>
      <c r="J56" s="69">
        <v>2088990</v>
      </c>
      <c r="K56" s="59">
        <f>J56/L56</f>
        <v>32138.307692307691</v>
      </c>
      <c r="L56" s="70">
        <v>65</v>
      </c>
      <c r="M56" s="65">
        <v>0</v>
      </c>
      <c r="N56" s="70">
        <v>65</v>
      </c>
      <c r="O56" s="71">
        <v>45362</v>
      </c>
      <c r="P56" s="72">
        <v>45636</v>
      </c>
      <c r="Q56" s="18" t="str">
        <f>TEXT(O56,"mmmm")</f>
        <v>March</v>
      </c>
      <c r="R56" s="18">
        <f>YEAR(O56)</f>
        <v>2024</v>
      </c>
      <c r="S56" s="18" t="s">
        <v>28</v>
      </c>
      <c r="T56" s="18" t="s">
        <v>81</v>
      </c>
      <c r="U56" s="18" t="s">
        <v>30</v>
      </c>
      <c r="V56" s="51" t="s">
        <v>82</v>
      </c>
      <c r="W56" s="72">
        <v>45323</v>
      </c>
      <c r="X56" s="58">
        <f>ROUND(M56/L56,2)</f>
        <v>0</v>
      </c>
      <c r="Y56" t="str">
        <f>IF(L56&lt;=29,"Hares",IF(L56&lt;=99,"Tigers",IF(L56&lt;=499,"Elephants","Whales")))</f>
        <v>Tigers</v>
      </c>
    </row>
    <row r="57" spans="1:29" ht="15.75" customHeight="1">
      <c r="A57" s="18" t="s">
        <v>98</v>
      </c>
      <c r="B57" s="18" t="s">
        <v>38</v>
      </c>
      <c r="C57" s="58" t="s">
        <v>27</v>
      </c>
      <c r="D57" s="58" t="s">
        <v>27</v>
      </c>
      <c r="E57" s="59">
        <v>3808773</v>
      </c>
      <c r="F57" s="59">
        <f>E57*5%</f>
        <v>190438.65000000002</v>
      </c>
      <c r="G57" s="59">
        <v>170000</v>
      </c>
      <c r="H57" s="59">
        <f>SUM(E57:G57)</f>
        <v>4169211.65</v>
      </c>
      <c r="I57" s="59">
        <f>6435139+510000+91800</f>
        <v>7036939</v>
      </c>
      <c r="J57" s="59">
        <f>SUM(H57:I57)</f>
        <v>11206150.65</v>
      </c>
      <c r="K57" s="59">
        <f>J57/L57</f>
        <v>589797.40263157897</v>
      </c>
      <c r="L57" s="18">
        <v>19</v>
      </c>
      <c r="M57" s="65">
        <f>34-17</f>
        <v>17</v>
      </c>
      <c r="N57" s="18">
        <f>SUM(L57:M57)</f>
        <v>36</v>
      </c>
      <c r="O57" s="66">
        <v>45362</v>
      </c>
      <c r="P57" s="67">
        <v>45726</v>
      </c>
      <c r="Q57" s="18" t="str">
        <f>TEXT(O57,"mmmm")</f>
        <v>March</v>
      </c>
      <c r="R57" s="18">
        <f>YEAR(O57)</f>
        <v>2024</v>
      </c>
      <c r="S57" s="18" t="s">
        <v>28</v>
      </c>
      <c r="T57" s="18" t="s">
        <v>99</v>
      </c>
      <c r="U57" s="18" t="s">
        <v>30</v>
      </c>
      <c r="V57" s="51" t="s">
        <v>31</v>
      </c>
      <c r="W57" s="74">
        <v>45301</v>
      </c>
      <c r="X57" s="58">
        <f>ROUND(M57/L57,2)</f>
        <v>0.89</v>
      </c>
      <c r="Y57" t="str">
        <f>IF(L57&lt;=29,"Hares",IF(L57&lt;=99,"Tigers",IF(L57&lt;=499,"Elephants","Whales")))</f>
        <v>Hares</v>
      </c>
      <c r="Z57" s="53"/>
      <c r="AA57" s="53"/>
      <c r="AB57" s="53"/>
      <c r="AC57" s="53"/>
    </row>
    <row r="58" spans="1:29" ht="15.75" customHeight="1">
      <c r="A58" s="18" t="s">
        <v>100</v>
      </c>
      <c r="B58" s="18" t="s">
        <v>38</v>
      </c>
      <c r="C58" s="58" t="s">
        <v>27</v>
      </c>
      <c r="D58" s="58" t="s">
        <v>27</v>
      </c>
      <c r="E58" s="59">
        <v>4210083</v>
      </c>
      <c r="F58" s="59">
        <f>E58*5%</f>
        <v>210504.15000000002</v>
      </c>
      <c r="G58" s="59">
        <v>265000</v>
      </c>
      <c r="H58" s="59">
        <f>SUM(E58:G58)</f>
        <v>4685587.1500000004</v>
      </c>
      <c r="I58" s="59">
        <f>8867296+2280000+410400</f>
        <v>11557696</v>
      </c>
      <c r="J58" s="59">
        <f>SUM(H58:I58)</f>
        <v>16243283.15</v>
      </c>
      <c r="K58" s="59">
        <f>J58/L58</f>
        <v>324865.663</v>
      </c>
      <c r="L58" s="18">
        <v>50</v>
      </c>
      <c r="M58" s="65">
        <v>100</v>
      </c>
      <c r="N58" s="18">
        <f>SUM(L58:M58)</f>
        <v>150</v>
      </c>
      <c r="O58" s="66">
        <v>45363</v>
      </c>
      <c r="P58" s="67">
        <v>45727</v>
      </c>
      <c r="Q58" s="18" t="str">
        <f>TEXT(O58,"mmmm")</f>
        <v>March</v>
      </c>
      <c r="R58" s="18">
        <f>YEAR(O58)</f>
        <v>2024</v>
      </c>
      <c r="S58" s="18" t="s">
        <v>28</v>
      </c>
      <c r="T58" s="18" t="s">
        <v>28</v>
      </c>
      <c r="U58" s="18"/>
      <c r="V58" s="18"/>
      <c r="W58" s="74">
        <v>45327</v>
      </c>
      <c r="X58" s="58">
        <f>ROUND(M58/L58,2)</f>
        <v>2</v>
      </c>
      <c r="Y58" t="str">
        <f>IF(L58&lt;=29,"Hares",IF(L58&lt;=99,"Tigers",IF(L58&lt;=499,"Elephants","Whales")))</f>
        <v>Tigers</v>
      </c>
    </row>
    <row r="59" spans="1:29" ht="15.75" customHeight="1">
      <c r="A59" s="18" t="s">
        <v>101</v>
      </c>
      <c r="B59" s="18" t="s">
        <v>26</v>
      </c>
      <c r="C59" s="58" t="s">
        <v>27</v>
      </c>
      <c r="D59" s="58" t="s">
        <v>27</v>
      </c>
      <c r="E59" s="59">
        <v>595144</v>
      </c>
      <c r="F59" s="59">
        <f>E59*5%</f>
        <v>29757.200000000001</v>
      </c>
      <c r="G59" s="59">
        <v>10000</v>
      </c>
      <c r="H59" s="59">
        <f>SUM(E59:G59)</f>
        <v>634901.19999999995</v>
      </c>
      <c r="I59" s="59">
        <v>0</v>
      </c>
      <c r="J59" s="59">
        <f>SUM(H59:I59)</f>
        <v>634901.19999999995</v>
      </c>
      <c r="K59" s="59">
        <f>J59/L59</f>
        <v>634901.19999999995</v>
      </c>
      <c r="L59" s="18">
        <v>1</v>
      </c>
      <c r="M59" s="65">
        <v>0</v>
      </c>
      <c r="N59" s="18">
        <f>SUM(L59:M59)</f>
        <v>1</v>
      </c>
      <c r="O59" s="66">
        <v>45365</v>
      </c>
      <c r="P59" s="67">
        <v>45728</v>
      </c>
      <c r="Q59" s="18" t="str">
        <f>TEXT(O59,"mmmm")</f>
        <v>March</v>
      </c>
      <c r="R59" s="18">
        <f>YEAR(O59)</f>
        <v>2024</v>
      </c>
      <c r="S59" s="18" t="s">
        <v>28</v>
      </c>
      <c r="T59" s="18" t="s">
        <v>28</v>
      </c>
      <c r="U59" s="18"/>
      <c r="V59" s="18"/>
      <c r="W59" s="74">
        <v>45365</v>
      </c>
      <c r="X59" s="58">
        <f>ROUND(M59/L59,2)</f>
        <v>0</v>
      </c>
      <c r="Y59" t="str">
        <f>IF(L59&lt;=29,"Hares",IF(L59&lt;=99,"Tigers",IF(L59&lt;=499,"Elephants","Whales")))</f>
        <v>Hares</v>
      </c>
    </row>
    <row r="60" spans="1:29" ht="15.75" customHeight="1">
      <c r="A60" s="18" t="s">
        <v>102</v>
      </c>
      <c r="B60" s="18" t="s">
        <v>26</v>
      </c>
      <c r="C60" s="58" t="s">
        <v>27</v>
      </c>
      <c r="D60" s="58" t="s">
        <v>27</v>
      </c>
      <c r="E60" s="59">
        <v>2197067</v>
      </c>
      <c r="F60" s="59">
        <f>E60*5%</f>
        <v>109853.35</v>
      </c>
      <c r="G60" s="59">
        <v>40000</v>
      </c>
      <c r="H60" s="59">
        <f>SUM(E60:G60)</f>
        <v>2346920.35</v>
      </c>
      <c r="I60" s="59">
        <v>0</v>
      </c>
      <c r="J60" s="59">
        <f>SUM(H60:I60)</f>
        <v>2346920.35</v>
      </c>
      <c r="K60" s="59">
        <f>J60/L60</f>
        <v>2346920.35</v>
      </c>
      <c r="L60" s="18">
        <v>1</v>
      </c>
      <c r="M60" s="65">
        <v>3</v>
      </c>
      <c r="N60" s="18">
        <f>SUM(L60:M60)</f>
        <v>4</v>
      </c>
      <c r="O60" s="66">
        <v>45371</v>
      </c>
      <c r="P60" s="67">
        <v>45735</v>
      </c>
      <c r="Q60" s="18" t="str">
        <f>TEXT(O60,"mmmm")</f>
        <v>March</v>
      </c>
      <c r="R60" s="18">
        <f>YEAR(O60)</f>
        <v>2024</v>
      </c>
      <c r="S60" s="18" t="s">
        <v>40</v>
      </c>
      <c r="T60" s="18" t="s">
        <v>103</v>
      </c>
      <c r="U60" s="18" t="s">
        <v>30</v>
      </c>
      <c r="V60" s="18"/>
      <c r="W60" s="74">
        <v>45369</v>
      </c>
      <c r="X60" s="58">
        <f>ROUND(M60/L60,2)</f>
        <v>3</v>
      </c>
      <c r="Y60" t="str">
        <f>IF(L60&lt;=29,"Hares",IF(L60&lt;=99,"Tigers",IF(L60&lt;=499,"Elephants","Whales")))</f>
        <v>Hares</v>
      </c>
    </row>
    <row r="61" spans="1:29" ht="15.75" customHeight="1">
      <c r="A61" s="18" t="s">
        <v>104</v>
      </c>
      <c r="B61" s="18" t="s">
        <v>26</v>
      </c>
      <c r="C61" s="58" t="s">
        <v>27</v>
      </c>
      <c r="D61" s="58" t="s">
        <v>27</v>
      </c>
      <c r="E61" s="59">
        <v>1222368</v>
      </c>
      <c r="F61" s="59">
        <f>E61*5%</f>
        <v>61118.400000000001</v>
      </c>
      <c r="G61" s="59">
        <v>30000</v>
      </c>
      <c r="H61" s="59">
        <f>SUM(E61:G61)</f>
        <v>1313486.3999999999</v>
      </c>
      <c r="I61" s="59">
        <v>0</v>
      </c>
      <c r="J61" s="59">
        <f>SUM(H61:I61)</f>
        <v>1313486.3999999999</v>
      </c>
      <c r="K61" s="59">
        <f>J61/L61</f>
        <v>437828.8</v>
      </c>
      <c r="L61" s="18">
        <v>3</v>
      </c>
      <c r="M61" s="65">
        <v>0</v>
      </c>
      <c r="N61" s="18">
        <f>SUM(L61:M61)</f>
        <v>3</v>
      </c>
      <c r="O61" s="66">
        <v>45377</v>
      </c>
      <c r="P61" s="67">
        <v>45741</v>
      </c>
      <c r="Q61" s="18" t="str">
        <f>TEXT(O61,"mmmm")</f>
        <v>March</v>
      </c>
      <c r="R61" s="18">
        <f>YEAR(O61)</f>
        <v>2024</v>
      </c>
      <c r="S61" s="18" t="s">
        <v>28</v>
      </c>
      <c r="T61" s="18" t="s">
        <v>29</v>
      </c>
      <c r="U61" s="18" t="s">
        <v>30</v>
      </c>
      <c r="V61" s="51" t="s">
        <v>31</v>
      </c>
      <c r="W61" s="74"/>
      <c r="X61" s="58">
        <f>ROUND(M61/L61,2)</f>
        <v>0</v>
      </c>
      <c r="Y61" t="str">
        <f>IF(L61&lt;=29,"Hares",IF(L61&lt;=99,"Tigers",IF(L61&lt;=499,"Elephants","Whales")))</f>
        <v>Hares</v>
      </c>
    </row>
    <row r="62" spans="1:29" ht="15.75" customHeight="1">
      <c r="A62" s="18" t="s">
        <v>105</v>
      </c>
      <c r="B62" s="18" t="s">
        <v>26</v>
      </c>
      <c r="C62" s="58" t="s">
        <v>27</v>
      </c>
      <c r="D62" s="58" t="s">
        <v>27</v>
      </c>
      <c r="E62" s="59">
        <v>18273873</v>
      </c>
      <c r="F62" s="59">
        <f>E62*5%</f>
        <v>913693.65</v>
      </c>
      <c r="G62" s="59">
        <v>480000</v>
      </c>
      <c r="H62" s="59">
        <f>SUM(E62:G62)</f>
        <v>19667566.649999999</v>
      </c>
      <c r="I62" s="59"/>
      <c r="J62" s="59">
        <f>SUM(H62:I62)</f>
        <v>19667566.649999999</v>
      </c>
      <c r="K62" s="59">
        <f>J62/L62</f>
        <v>1311171.1099999999</v>
      </c>
      <c r="L62" s="18">
        <v>15</v>
      </c>
      <c r="M62" s="65">
        <v>33</v>
      </c>
      <c r="N62" s="18">
        <f>SUM(L62:M62)</f>
        <v>48</v>
      </c>
      <c r="O62" s="66">
        <v>45378</v>
      </c>
      <c r="P62" s="67">
        <v>45742</v>
      </c>
      <c r="Q62" s="18" t="str">
        <f>TEXT(O62,"mmmm")</f>
        <v>March</v>
      </c>
      <c r="R62" s="18">
        <f>YEAR(O62)</f>
        <v>2024</v>
      </c>
      <c r="S62" s="18" t="s">
        <v>28</v>
      </c>
      <c r="T62" s="18" t="s">
        <v>106</v>
      </c>
      <c r="U62" s="18" t="s">
        <v>30</v>
      </c>
      <c r="V62" s="51" t="s">
        <v>107</v>
      </c>
      <c r="W62" s="74">
        <v>45373</v>
      </c>
      <c r="X62" s="58">
        <f>ROUND(M62/L62,2)</f>
        <v>2.2000000000000002</v>
      </c>
      <c r="Y62" t="str">
        <f>IF(L62&lt;=29,"Hares",IF(L62&lt;=99,"Tigers",IF(L62&lt;=499,"Elephants","Whales")))</f>
        <v>Hares</v>
      </c>
      <c r="Z62" s="53"/>
      <c r="AA62" s="53"/>
      <c r="AB62" s="53"/>
      <c r="AC62" s="53"/>
    </row>
    <row r="63" spans="1:29" ht="15.75" customHeight="1">
      <c r="A63" s="18" t="s">
        <v>36</v>
      </c>
      <c r="B63" s="18" t="s">
        <v>90</v>
      </c>
      <c r="C63" s="58" t="s">
        <v>27</v>
      </c>
      <c r="D63" s="51" t="s">
        <v>91</v>
      </c>
      <c r="E63" s="59">
        <v>3790302</v>
      </c>
      <c r="F63" s="59">
        <f>E63*5%</f>
        <v>189515.1</v>
      </c>
      <c r="G63" s="59">
        <v>70000</v>
      </c>
      <c r="H63" s="59">
        <f>SUM(E63:G63)</f>
        <v>4049817.1</v>
      </c>
      <c r="I63" s="59">
        <v>0</v>
      </c>
      <c r="J63" s="59">
        <f>SUM(H63:I63)</f>
        <v>4049817.1</v>
      </c>
      <c r="K63" s="59">
        <f>J63/L63</f>
        <v>1012454.275</v>
      </c>
      <c r="L63" s="18">
        <v>4</v>
      </c>
      <c r="M63" s="65">
        <v>3</v>
      </c>
      <c r="N63" s="18">
        <f>SUM(L63:M63)</f>
        <v>7</v>
      </c>
      <c r="O63" s="66">
        <v>45379</v>
      </c>
      <c r="P63" s="67">
        <v>45743</v>
      </c>
      <c r="Q63" s="18" t="str">
        <f>TEXT(O63,"mmmm")</f>
        <v>March</v>
      </c>
      <c r="R63" s="18">
        <f>YEAR(O63)</f>
        <v>2024</v>
      </c>
      <c r="S63" s="18" t="s">
        <v>28</v>
      </c>
      <c r="T63" s="18" t="s">
        <v>28</v>
      </c>
      <c r="U63" s="18"/>
      <c r="V63" s="18"/>
      <c r="W63" s="74"/>
      <c r="X63" s="58">
        <f>ROUND(M63/L63,2)</f>
        <v>0.75</v>
      </c>
      <c r="Y63" t="str">
        <f>IF(L63&lt;=29,"Hares",IF(L63&lt;=99,"Tigers",IF(L63&lt;=499,"Elephants","Whales")))</f>
        <v>Hares</v>
      </c>
    </row>
    <row r="64" spans="1:29" ht="15.75" customHeight="1">
      <c r="A64" s="18" t="s">
        <v>108</v>
      </c>
      <c r="B64" s="18" t="s">
        <v>26</v>
      </c>
      <c r="C64" s="58" t="s">
        <v>27</v>
      </c>
      <c r="D64" s="58" t="s">
        <v>27</v>
      </c>
      <c r="E64" s="59">
        <f>504665</f>
        <v>504665</v>
      </c>
      <c r="F64" s="59">
        <f>E64*5%</f>
        <v>25233.25</v>
      </c>
      <c r="G64" s="59">
        <v>10000</v>
      </c>
      <c r="H64" s="59">
        <f>SUM(E64:G64)</f>
        <v>539898.25</v>
      </c>
      <c r="I64" s="59">
        <v>0</v>
      </c>
      <c r="J64" s="59">
        <f>SUM(H64:I64)</f>
        <v>539898.25</v>
      </c>
      <c r="K64" s="59">
        <f>J64/L64</f>
        <v>539898.25</v>
      </c>
      <c r="L64" s="18">
        <v>1</v>
      </c>
      <c r="M64" s="65">
        <v>0</v>
      </c>
      <c r="N64" s="18">
        <f>SUM(L64:M64)</f>
        <v>1</v>
      </c>
      <c r="O64" s="66">
        <v>45392</v>
      </c>
      <c r="P64" s="67">
        <v>45756</v>
      </c>
      <c r="Q64" s="18" t="str">
        <f>TEXT(O64,"mmmm")</f>
        <v>April</v>
      </c>
      <c r="R64" s="18">
        <f>YEAR(O64)</f>
        <v>2024</v>
      </c>
      <c r="S64" s="18" t="s">
        <v>28</v>
      </c>
      <c r="T64" s="18" t="s">
        <v>106</v>
      </c>
      <c r="U64" s="18" t="s">
        <v>30</v>
      </c>
      <c r="V64" s="51" t="s">
        <v>107</v>
      </c>
      <c r="W64" s="74">
        <v>45387</v>
      </c>
      <c r="X64" s="58">
        <f>ROUND(M64/L64,2)</f>
        <v>0</v>
      </c>
      <c r="Y64" t="str">
        <f>IF(L64&lt;=29,"Hares",IF(L64&lt;=99,"Tigers",IF(L64&lt;=499,"Elephants","Whales")))</f>
        <v>Hares</v>
      </c>
    </row>
    <row r="65" spans="1:29" ht="15.75" customHeight="1">
      <c r="A65" s="18" t="s">
        <v>109</v>
      </c>
      <c r="B65" s="18" t="s">
        <v>26</v>
      </c>
      <c r="C65" s="58" t="s">
        <v>27</v>
      </c>
      <c r="D65" s="58" t="s">
        <v>27</v>
      </c>
      <c r="E65" s="59">
        <v>1766317</v>
      </c>
      <c r="F65" s="59">
        <f>E65*5%</f>
        <v>88315.85</v>
      </c>
      <c r="G65" s="59">
        <v>30000</v>
      </c>
      <c r="H65" s="59">
        <f>SUM(E65:G65)</f>
        <v>1884632.85</v>
      </c>
      <c r="I65" s="59">
        <v>0</v>
      </c>
      <c r="J65" s="59">
        <f>SUM(H65:I65)</f>
        <v>1884632.85</v>
      </c>
      <c r="K65" s="59">
        <f>J65/L65</f>
        <v>628210.95000000007</v>
      </c>
      <c r="L65" s="18">
        <v>3</v>
      </c>
      <c r="M65" s="65">
        <v>0</v>
      </c>
      <c r="N65" s="18">
        <f>SUM(L65:M65)</f>
        <v>3</v>
      </c>
      <c r="O65" s="66">
        <v>45394</v>
      </c>
      <c r="P65" s="67">
        <v>45758</v>
      </c>
      <c r="Q65" s="18" t="str">
        <f>TEXT(O65,"mmmm")</f>
        <v>April</v>
      </c>
      <c r="R65" s="18">
        <f>YEAR(O65)</f>
        <v>2024</v>
      </c>
      <c r="S65" s="18" t="s">
        <v>28</v>
      </c>
      <c r="T65" s="18" t="s">
        <v>28</v>
      </c>
      <c r="U65" s="18"/>
      <c r="V65" s="18"/>
      <c r="W65" s="74">
        <v>45394</v>
      </c>
      <c r="X65" s="58">
        <f>ROUND(M65/L65,2)</f>
        <v>0</v>
      </c>
      <c r="Y65" t="str">
        <f>IF(L65&lt;=29,"Hares",IF(L65&lt;=99,"Tigers",IF(L65&lt;=499,"Elephants","Whales")))</f>
        <v>Hares</v>
      </c>
    </row>
    <row r="66" spans="1:29" ht="15.75" customHeight="1">
      <c r="A66" s="18" t="s">
        <v>110</v>
      </c>
      <c r="B66" s="18" t="s">
        <v>26</v>
      </c>
      <c r="C66" s="58" t="s">
        <v>27</v>
      </c>
      <c r="D66" s="58" t="s">
        <v>27</v>
      </c>
      <c r="E66" s="59">
        <v>654024</v>
      </c>
      <c r="F66" s="59">
        <f>E66*5%</f>
        <v>32701.200000000001</v>
      </c>
      <c r="G66" s="59">
        <v>10000</v>
      </c>
      <c r="H66" s="59">
        <f>SUM(E66:G66)</f>
        <v>696725.2</v>
      </c>
      <c r="I66" s="59">
        <v>0</v>
      </c>
      <c r="J66" s="59">
        <f>SUM(H66:I66)</f>
        <v>696725.2</v>
      </c>
      <c r="K66" s="59">
        <f>J66/L66</f>
        <v>696725.2</v>
      </c>
      <c r="L66" s="18">
        <v>1</v>
      </c>
      <c r="M66" s="65">
        <v>0</v>
      </c>
      <c r="N66" s="18">
        <f>SUM(L66:M66)</f>
        <v>1</v>
      </c>
      <c r="O66" s="66">
        <v>45394</v>
      </c>
      <c r="P66" s="67">
        <v>45758</v>
      </c>
      <c r="Q66" s="18" t="str">
        <f>TEXT(O66,"mmmm")</f>
        <v>April</v>
      </c>
      <c r="R66" s="18">
        <f>YEAR(O66)</f>
        <v>2024</v>
      </c>
      <c r="S66" s="18" t="s">
        <v>28</v>
      </c>
      <c r="T66" s="18" t="s">
        <v>85</v>
      </c>
      <c r="U66" s="18" t="s">
        <v>30</v>
      </c>
      <c r="V66" s="51" t="s">
        <v>86</v>
      </c>
      <c r="W66" s="74">
        <v>45393</v>
      </c>
      <c r="X66" s="58">
        <f>ROUND(M66/L66,2)</f>
        <v>0</v>
      </c>
      <c r="Y66" t="str">
        <f>IF(L66&lt;=29,"Hares",IF(L66&lt;=99,"Tigers",IF(L66&lt;=499,"Elephants","Whales")))</f>
        <v>Hares</v>
      </c>
      <c r="Z66" s="53"/>
      <c r="AA66" s="53"/>
      <c r="AB66" s="53"/>
      <c r="AC66" s="53"/>
    </row>
    <row r="67" spans="1:29" ht="15.75" customHeight="1">
      <c r="A67" s="18" t="s">
        <v>111</v>
      </c>
      <c r="B67" s="18" t="s">
        <v>26</v>
      </c>
      <c r="C67" s="58" t="s">
        <v>27</v>
      </c>
      <c r="D67" s="58" t="s">
        <v>27</v>
      </c>
      <c r="E67" s="59">
        <v>43221196.509999998</v>
      </c>
      <c r="F67" s="59">
        <f>E67*5%</f>
        <v>2161059.8254999998</v>
      </c>
      <c r="G67" s="59">
        <v>1310000</v>
      </c>
      <c r="H67" s="59">
        <f>SUM(E67:G67)</f>
        <v>46692256.335499994</v>
      </c>
      <c r="I67" s="59">
        <v>0</v>
      </c>
      <c r="J67" s="59">
        <f>SUM(H67:I67)</f>
        <v>46692256.335499994</v>
      </c>
      <c r="K67" s="59">
        <f>J67/L67</f>
        <v>536692.60155747121</v>
      </c>
      <c r="L67" s="18">
        <f>18+69</f>
        <v>87</v>
      </c>
      <c r="M67" s="65">
        <f>131-87</f>
        <v>44</v>
      </c>
      <c r="N67" s="18">
        <f>SUM(L67:M67)</f>
        <v>131</v>
      </c>
      <c r="O67" s="66">
        <v>45395</v>
      </c>
      <c r="P67" s="67">
        <v>45759</v>
      </c>
      <c r="Q67" s="18" t="str">
        <f>TEXT(O67,"mmmm")</f>
        <v>April</v>
      </c>
      <c r="R67" s="18">
        <f>YEAR(O67)</f>
        <v>2024</v>
      </c>
      <c r="S67" s="18" t="s">
        <v>28</v>
      </c>
      <c r="T67" s="18" t="s">
        <v>99</v>
      </c>
      <c r="U67" s="18" t="s">
        <v>30</v>
      </c>
      <c r="V67" s="51" t="s">
        <v>31</v>
      </c>
      <c r="W67" s="74">
        <v>45296</v>
      </c>
      <c r="X67" s="58">
        <f>ROUND(M67/L67,2)</f>
        <v>0.51</v>
      </c>
      <c r="Y67" t="str">
        <f>IF(L67&lt;=29,"Hares",IF(L67&lt;=99,"Tigers",IF(L67&lt;=499,"Elephants","Whales")))</f>
        <v>Tigers</v>
      </c>
    </row>
    <row r="68" spans="1:29" ht="15.75" customHeight="1">
      <c r="A68" s="18" t="s">
        <v>112</v>
      </c>
      <c r="B68" s="18" t="s">
        <v>26</v>
      </c>
      <c r="C68" s="58" t="s">
        <v>27</v>
      </c>
      <c r="D68" s="58" t="s">
        <v>27</v>
      </c>
      <c r="E68" s="59">
        <f>18705931+180981601</f>
        <v>199687532</v>
      </c>
      <c r="F68" s="59">
        <f>E68*5%</f>
        <v>9984376.5999999996</v>
      </c>
      <c r="G68" s="59">
        <f>520000+9990000</f>
        <v>10510000</v>
      </c>
      <c r="H68" s="59">
        <f>SUM(E68:G68)</f>
        <v>220181908.59999999</v>
      </c>
      <c r="I68" s="59">
        <v>0</v>
      </c>
      <c r="J68" s="59">
        <f>SUM(H68:I68)</f>
        <v>220181908.59999999</v>
      </c>
      <c r="K68" s="59">
        <f>J68/L68</f>
        <v>574887.48981723236</v>
      </c>
      <c r="L68" s="18">
        <v>383</v>
      </c>
      <c r="M68" s="65">
        <f>1051-383</f>
        <v>668</v>
      </c>
      <c r="N68" s="18">
        <f>SUM(L68:M68)</f>
        <v>1051</v>
      </c>
      <c r="O68" s="66">
        <v>45407</v>
      </c>
      <c r="P68" s="67">
        <v>45771</v>
      </c>
      <c r="Q68" s="18" t="str">
        <f>TEXT(O68,"mmmm")</f>
        <v>April</v>
      </c>
      <c r="R68" s="18">
        <f>YEAR(O68)</f>
        <v>2024</v>
      </c>
      <c r="S68" s="18" t="s">
        <v>34</v>
      </c>
      <c r="T68" s="18" t="s">
        <v>113</v>
      </c>
      <c r="U68" s="18"/>
      <c r="V68" s="18"/>
      <c r="W68" s="74">
        <v>45384</v>
      </c>
      <c r="X68" s="58">
        <f>ROUND(M68/L68,2)</f>
        <v>1.74</v>
      </c>
      <c r="Y68" t="str">
        <f>IF(L68&lt;=29,"Hares",IF(L68&lt;=99,"Tigers",IF(L68&lt;=499,"Elephants","Whales")))</f>
        <v>Elephants</v>
      </c>
    </row>
    <row r="69" spans="1:29" ht="15.75" customHeight="1">
      <c r="A69" s="18" t="s">
        <v>114</v>
      </c>
      <c r="B69" s="18" t="s">
        <v>26</v>
      </c>
      <c r="C69" s="58" t="s">
        <v>27</v>
      </c>
      <c r="D69" s="58" t="s">
        <v>27</v>
      </c>
      <c r="E69" s="59">
        <v>1322572</v>
      </c>
      <c r="F69" s="59">
        <f>E69*5%</f>
        <v>66128.600000000006</v>
      </c>
      <c r="G69" s="59">
        <v>20000</v>
      </c>
      <c r="H69" s="59">
        <f>SUM(E69:G69)</f>
        <v>1408700.6</v>
      </c>
      <c r="I69" s="59">
        <v>0</v>
      </c>
      <c r="J69" s="59">
        <f>SUM(H69:I69)</f>
        <v>1408700.6</v>
      </c>
      <c r="K69" s="59">
        <f>J69/L69</f>
        <v>1408700.6</v>
      </c>
      <c r="L69" s="18">
        <v>1</v>
      </c>
      <c r="M69" s="65">
        <v>1</v>
      </c>
      <c r="N69" s="18">
        <f>SUM(L69:M69)</f>
        <v>2</v>
      </c>
      <c r="O69" s="66">
        <v>45408</v>
      </c>
      <c r="P69" s="67">
        <v>45772</v>
      </c>
      <c r="Q69" s="18" t="str">
        <f>TEXT(O69,"mmmm")</f>
        <v>April</v>
      </c>
      <c r="R69" s="18">
        <f>YEAR(O69)</f>
        <v>2024</v>
      </c>
      <c r="S69" s="18" t="s">
        <v>40</v>
      </c>
      <c r="T69" s="18" t="s">
        <v>115</v>
      </c>
      <c r="U69" s="18"/>
      <c r="V69" s="18"/>
      <c r="W69" s="74">
        <v>45352</v>
      </c>
      <c r="X69" s="58">
        <f>ROUND(M69/L69,2)</f>
        <v>1</v>
      </c>
      <c r="Y69" t="str">
        <f>IF(L69&lt;=29,"Hares",IF(L69&lt;=99,"Tigers",IF(L69&lt;=499,"Elephants","Whales")))</f>
        <v>Hares</v>
      </c>
    </row>
    <row r="70" spans="1:29" ht="15.75" customHeight="1">
      <c r="A70" s="18" t="s">
        <v>116</v>
      </c>
      <c r="B70" s="18" t="s">
        <v>26</v>
      </c>
      <c r="C70" s="58" t="s">
        <v>27</v>
      </c>
      <c r="D70" s="58" t="s">
        <v>27</v>
      </c>
      <c r="E70" s="59">
        <f>3751469+63432644</f>
        <v>67184113</v>
      </c>
      <c r="F70" s="59">
        <f>E70*5%</f>
        <v>3359205.6500000004</v>
      </c>
      <c r="G70" s="59">
        <f>845000+45000</f>
        <v>890000</v>
      </c>
      <c r="H70" s="59">
        <f>SUM(E70:G70)</f>
        <v>71433318.650000006</v>
      </c>
      <c r="I70" s="59">
        <v>0</v>
      </c>
      <c r="J70" s="59">
        <f>SUM(H70:I70)</f>
        <v>71433318.650000006</v>
      </c>
      <c r="K70" s="59">
        <f>J70/L70</f>
        <v>830619.98430232564</v>
      </c>
      <c r="L70" s="18">
        <v>86</v>
      </c>
      <c r="M70" s="65">
        <f>178-86</f>
        <v>92</v>
      </c>
      <c r="N70" s="18">
        <f>SUM(L70:M70)</f>
        <v>178</v>
      </c>
      <c r="O70" s="66">
        <v>45410</v>
      </c>
      <c r="P70" s="67">
        <v>45774</v>
      </c>
      <c r="Q70" s="18" t="str">
        <f>TEXT(O70,"mmmm")</f>
        <v>April</v>
      </c>
      <c r="R70" s="18">
        <f>YEAR(O70)</f>
        <v>2024</v>
      </c>
      <c r="S70" s="18" t="s">
        <v>34</v>
      </c>
      <c r="T70" s="18" t="s">
        <v>117</v>
      </c>
      <c r="U70" s="18"/>
      <c r="V70" s="18"/>
      <c r="W70" s="74">
        <v>45384</v>
      </c>
      <c r="X70" s="58">
        <f>ROUND(M70/L70,2)</f>
        <v>1.07</v>
      </c>
      <c r="Y70" t="str">
        <f>IF(L70&lt;=29,"Hares",IF(L70&lt;=99,"Tigers",IF(L70&lt;=499,"Elephants","Whales")))</f>
        <v>Tigers</v>
      </c>
    </row>
    <row r="71" spans="1:29" ht="15.75" customHeight="1">
      <c r="A71" s="18" t="s">
        <v>118</v>
      </c>
      <c r="B71" s="18" t="s">
        <v>26</v>
      </c>
      <c r="C71" s="58" t="s">
        <v>27</v>
      </c>
      <c r="D71" s="58" t="s">
        <v>27</v>
      </c>
      <c r="E71" s="59">
        <v>12020631</v>
      </c>
      <c r="F71" s="59">
        <f>E71*5%</f>
        <v>601031.55000000005</v>
      </c>
      <c r="G71" s="59">
        <v>320000</v>
      </c>
      <c r="H71" s="59">
        <f>SUM(E71:G71)</f>
        <v>12941662.550000001</v>
      </c>
      <c r="I71" s="59">
        <v>0</v>
      </c>
      <c r="J71" s="59">
        <f>SUM(H71:I71)</f>
        <v>12941662.550000001</v>
      </c>
      <c r="K71" s="59">
        <f>J71/L71</f>
        <v>862777.50333333341</v>
      </c>
      <c r="L71" s="18">
        <v>15</v>
      </c>
      <c r="M71" s="65">
        <v>17</v>
      </c>
      <c r="N71" s="18">
        <f>SUM(L71:M71)</f>
        <v>32</v>
      </c>
      <c r="O71" s="66">
        <v>45413</v>
      </c>
      <c r="P71" s="67" t="s">
        <v>119</v>
      </c>
      <c r="Q71" s="18" t="str">
        <f>TEXT(O71,"mmmm")</f>
        <v>May</v>
      </c>
      <c r="R71" s="18">
        <f>YEAR(O71)</f>
        <v>2024</v>
      </c>
      <c r="S71" s="18" t="s">
        <v>28</v>
      </c>
      <c r="T71" s="18" t="s">
        <v>81</v>
      </c>
      <c r="U71" s="18" t="s">
        <v>30</v>
      </c>
      <c r="V71" s="51" t="s">
        <v>82</v>
      </c>
      <c r="W71" s="74">
        <v>45355</v>
      </c>
      <c r="X71" s="58">
        <f>ROUND(M71/L71,2)</f>
        <v>1.1299999999999999</v>
      </c>
      <c r="Y71" t="str">
        <f>IF(L71&lt;=29,"Hares",IF(L71&lt;=99,"Tigers",IF(L71&lt;=499,"Elephants","Whales")))</f>
        <v>Hares</v>
      </c>
    </row>
    <row r="72" spans="1:29" ht="15.75" customHeight="1">
      <c r="A72" s="18" t="s">
        <v>39</v>
      </c>
      <c r="B72" s="18" t="s">
        <v>90</v>
      </c>
      <c r="C72" s="58" t="s">
        <v>27</v>
      </c>
      <c r="D72" s="51" t="s">
        <v>91</v>
      </c>
      <c r="E72" s="59">
        <v>3933752</v>
      </c>
      <c r="F72" s="59">
        <f>E72*5%</f>
        <v>196687.6</v>
      </c>
      <c r="G72" s="59">
        <v>80000</v>
      </c>
      <c r="H72" s="59">
        <f>SUM(E72:G72)</f>
        <v>4210439.5999999996</v>
      </c>
      <c r="I72" s="59">
        <v>0</v>
      </c>
      <c r="J72" s="59">
        <f>SUM(H72:I72)</f>
        <v>4210439.5999999996</v>
      </c>
      <c r="K72" s="59">
        <f>J72/L72</f>
        <v>601491.37142857141</v>
      </c>
      <c r="L72" s="18">
        <v>7</v>
      </c>
      <c r="M72" s="65">
        <v>1</v>
      </c>
      <c r="N72" s="18">
        <f>SUM(L72:M72)</f>
        <v>8</v>
      </c>
      <c r="O72" s="66">
        <v>45413</v>
      </c>
      <c r="P72" s="67" t="s">
        <v>119</v>
      </c>
      <c r="Q72" s="18" t="str">
        <f>TEXT(O72,"mmmm")</f>
        <v>May</v>
      </c>
      <c r="R72" s="18">
        <f>YEAR(O72)</f>
        <v>2024</v>
      </c>
      <c r="S72" s="18" t="s">
        <v>40</v>
      </c>
      <c r="T72" s="18" t="s">
        <v>103</v>
      </c>
      <c r="U72" s="18" t="s">
        <v>30</v>
      </c>
      <c r="V72" s="18"/>
      <c r="W72" s="74"/>
      <c r="X72" s="58">
        <f>ROUND(M72/L72,2)</f>
        <v>0.14000000000000001</v>
      </c>
      <c r="Y72" t="str">
        <f>IF(L72&lt;=29,"Hares",IF(L72&lt;=99,"Tigers",IF(L72&lt;=499,"Elephants","Whales")))</f>
        <v>Hares</v>
      </c>
      <c r="Z72" s="53"/>
      <c r="AA72" s="53"/>
      <c r="AB72" s="53"/>
      <c r="AC72" s="53"/>
    </row>
    <row r="73" spans="1:29" ht="15.75" customHeight="1">
      <c r="A73" s="18" t="s">
        <v>120</v>
      </c>
      <c r="B73" s="18" t="s">
        <v>121</v>
      </c>
      <c r="C73" s="58" t="s">
        <v>27</v>
      </c>
      <c r="D73" s="51" t="s">
        <v>91</v>
      </c>
      <c r="E73" s="59">
        <f>126596+4172897</f>
        <v>4299493</v>
      </c>
      <c r="F73" s="59">
        <f>E73*5%</f>
        <v>214974.65000000002</v>
      </c>
      <c r="G73" s="59">
        <f>210000+5000</f>
        <v>215000</v>
      </c>
      <c r="H73" s="59">
        <f>SUM(E73:G73)</f>
        <v>4729467.6500000004</v>
      </c>
      <c r="I73" s="59">
        <f>5299677+630000+113400+169006+15000+2700</f>
        <v>6229783</v>
      </c>
      <c r="J73" s="59">
        <f>SUM(H73:I73)</f>
        <v>10959250.65</v>
      </c>
      <c r="K73" s="59">
        <f>J73/L73</f>
        <v>304423.62916666665</v>
      </c>
      <c r="L73" s="18">
        <f>35+1</f>
        <v>36</v>
      </c>
      <c r="M73" s="65">
        <v>7</v>
      </c>
      <c r="N73" s="18">
        <f>SUM(L73:M73)</f>
        <v>43</v>
      </c>
      <c r="O73" s="66">
        <v>45420</v>
      </c>
      <c r="P73" s="67">
        <v>45784</v>
      </c>
      <c r="Q73" s="18" t="str">
        <f>TEXT(O73,"mmmm")</f>
        <v>May</v>
      </c>
      <c r="R73" s="18">
        <f>YEAR(O73)</f>
        <v>2024</v>
      </c>
      <c r="S73" s="18" t="s">
        <v>28</v>
      </c>
      <c r="T73" s="18" t="s">
        <v>29</v>
      </c>
      <c r="U73" s="18" t="s">
        <v>30</v>
      </c>
      <c r="V73" s="51" t="s">
        <v>31</v>
      </c>
      <c r="W73" s="74"/>
      <c r="X73" s="58">
        <f>ROUND(M73/L73,2)</f>
        <v>0.19</v>
      </c>
      <c r="Y73" t="str">
        <f>IF(L73&lt;=29,"Hares",IF(L73&lt;=99,"Tigers",IF(L73&lt;=499,"Elephants","Whales")))</f>
        <v>Tigers</v>
      </c>
    </row>
    <row r="74" spans="1:29" ht="15.75" customHeight="1">
      <c r="A74" s="18" t="s">
        <v>122</v>
      </c>
      <c r="B74" s="18" t="s">
        <v>26</v>
      </c>
      <c r="C74" s="58" t="s">
        <v>27</v>
      </c>
      <c r="D74" s="58" t="s">
        <v>27</v>
      </c>
      <c r="E74" s="59">
        <v>3897152</v>
      </c>
      <c r="F74" s="59">
        <f>E74*5%</f>
        <v>194857.60000000001</v>
      </c>
      <c r="G74" s="59">
        <v>70000</v>
      </c>
      <c r="H74" s="59">
        <f>SUM(E74:G74)</f>
        <v>4162009.6</v>
      </c>
      <c r="I74" s="59">
        <v>0</v>
      </c>
      <c r="J74" s="59">
        <f>SUM(H74:I74)</f>
        <v>4162009.6</v>
      </c>
      <c r="K74" s="59">
        <f>J74/L74</f>
        <v>594572.80000000005</v>
      </c>
      <c r="L74" s="18">
        <v>7</v>
      </c>
      <c r="M74" s="65">
        <v>0</v>
      </c>
      <c r="N74" s="18">
        <f>SUM(L74:M74)</f>
        <v>7</v>
      </c>
      <c r="O74" s="66">
        <v>45426</v>
      </c>
      <c r="P74" s="67">
        <v>45790</v>
      </c>
      <c r="Q74" s="18" t="str">
        <f>TEXT(O74,"mmmm")</f>
        <v>May</v>
      </c>
      <c r="R74" s="18">
        <f>YEAR(O74)</f>
        <v>2024</v>
      </c>
      <c r="S74" s="18" t="s">
        <v>28</v>
      </c>
      <c r="T74" s="18" t="s">
        <v>123</v>
      </c>
      <c r="U74" s="18" t="s">
        <v>30</v>
      </c>
      <c r="V74" s="51" t="s">
        <v>124</v>
      </c>
      <c r="W74" s="74">
        <v>45411</v>
      </c>
      <c r="X74" s="58">
        <f>ROUND(M74/L74,2)</f>
        <v>0</v>
      </c>
      <c r="Y74" t="str">
        <f>IF(L74&lt;=29,"Hares",IF(L74&lt;=99,"Tigers",IF(L74&lt;=499,"Elephants","Whales")))</f>
        <v>Hares</v>
      </c>
      <c r="Z74" s="53"/>
      <c r="AA74" s="53"/>
      <c r="AB74" s="53"/>
      <c r="AC74" s="53"/>
    </row>
    <row r="75" spans="1:29" ht="15.75" customHeight="1">
      <c r="A75" s="18" t="s">
        <v>125</v>
      </c>
      <c r="B75" s="18" t="s">
        <v>26</v>
      </c>
      <c r="C75" s="58" t="s">
        <v>27</v>
      </c>
      <c r="D75" s="58" t="s">
        <v>27</v>
      </c>
      <c r="E75" s="59">
        <f>23153292+2402252+2179983+1520025</f>
        <v>29255552</v>
      </c>
      <c r="F75" s="59">
        <f>E75*5%</f>
        <v>1462777.6</v>
      </c>
      <c r="G75" s="59">
        <f>20000+30000+25000+240000</f>
        <v>315000</v>
      </c>
      <c r="H75" s="59">
        <f>SUM(E75:G75)</f>
        <v>31033329.600000001</v>
      </c>
      <c r="I75" s="59">
        <v>0</v>
      </c>
      <c r="J75" s="59">
        <f>SUM(H75:I75)</f>
        <v>31033329.600000001</v>
      </c>
      <c r="K75" s="59">
        <f>J75/L75</f>
        <v>646527.70000000007</v>
      </c>
      <c r="L75" s="18">
        <v>48</v>
      </c>
      <c r="M75" s="65">
        <f>126-48</f>
        <v>78</v>
      </c>
      <c r="N75" s="18">
        <f>SUM(L75:M75)</f>
        <v>126</v>
      </c>
      <c r="O75" s="66">
        <v>45432</v>
      </c>
      <c r="P75" s="67">
        <v>45796</v>
      </c>
      <c r="Q75" s="18" t="str">
        <f>TEXT(O75,"mmmm")</f>
        <v>May</v>
      </c>
      <c r="R75" s="18">
        <f>YEAR(O75)</f>
        <v>2024</v>
      </c>
      <c r="S75" s="18" t="s">
        <v>40</v>
      </c>
      <c r="T75" s="18" t="s">
        <v>126</v>
      </c>
      <c r="U75" s="18"/>
      <c r="V75" s="18"/>
      <c r="W75" s="74">
        <v>45406</v>
      </c>
      <c r="X75" s="58">
        <f>ROUND(M75/L75,2)</f>
        <v>1.63</v>
      </c>
      <c r="Y75" t="str">
        <f>IF(L75&lt;=29,"Hares",IF(L75&lt;=99,"Tigers",IF(L75&lt;=499,"Elephants","Whales")))</f>
        <v>Tigers</v>
      </c>
    </row>
    <row r="76" spans="1:29" ht="15.75" customHeight="1">
      <c r="A76" s="18" t="s">
        <v>127</v>
      </c>
      <c r="B76" s="18" t="s">
        <v>26</v>
      </c>
      <c r="C76" s="58" t="s">
        <v>27</v>
      </c>
      <c r="D76" s="58" t="s">
        <v>27</v>
      </c>
      <c r="E76" s="59">
        <v>510698</v>
      </c>
      <c r="F76" s="59">
        <f>E76*5%</f>
        <v>25534.9</v>
      </c>
      <c r="G76" s="59">
        <v>10000</v>
      </c>
      <c r="H76" s="59">
        <f>SUM(E76:G76)</f>
        <v>546232.9</v>
      </c>
      <c r="I76" s="59">
        <v>0</v>
      </c>
      <c r="J76" s="59">
        <f>SUM(H76:I76)</f>
        <v>546232.9</v>
      </c>
      <c r="K76" s="59">
        <f>J76/L76</f>
        <v>546232.9</v>
      </c>
      <c r="L76" s="18">
        <v>1</v>
      </c>
      <c r="M76" s="65">
        <v>0</v>
      </c>
      <c r="N76" s="18">
        <f>SUM(L76:M76)</f>
        <v>1</v>
      </c>
      <c r="O76" s="66">
        <v>45432</v>
      </c>
      <c r="P76" s="67">
        <v>45796</v>
      </c>
      <c r="Q76" s="18" t="str">
        <f>TEXT(O76,"mmmm")</f>
        <v>May</v>
      </c>
      <c r="R76" s="18">
        <f>YEAR(O76)</f>
        <v>2024</v>
      </c>
      <c r="S76" s="18" t="s">
        <v>28</v>
      </c>
      <c r="T76" s="18" t="s">
        <v>28</v>
      </c>
      <c r="U76" s="18"/>
      <c r="V76" s="18"/>
      <c r="W76" s="74">
        <v>45430</v>
      </c>
      <c r="X76" s="58">
        <f>ROUND(M76/L76,2)</f>
        <v>0</v>
      </c>
      <c r="Y76" t="str">
        <f>IF(L76&lt;=29,"Hares",IF(L76&lt;=99,"Tigers",IF(L76&lt;=499,"Elephants","Whales")))</f>
        <v>Hares</v>
      </c>
    </row>
    <row r="77" spans="1:29" ht="15.75" customHeight="1">
      <c r="A77" s="18" t="s">
        <v>128</v>
      </c>
      <c r="B77" s="18" t="s">
        <v>26</v>
      </c>
      <c r="C77" s="58" t="s">
        <v>27</v>
      </c>
      <c r="D77" s="58" t="s">
        <v>27</v>
      </c>
      <c r="E77" s="59">
        <v>727401</v>
      </c>
      <c r="F77" s="59">
        <f>E77*5%</f>
        <v>36370.050000000003</v>
      </c>
      <c r="G77" s="59">
        <v>10000</v>
      </c>
      <c r="H77" s="59">
        <f>SUM(E77:G77)</f>
        <v>773771.05</v>
      </c>
      <c r="I77" s="59">
        <v>0</v>
      </c>
      <c r="J77" s="59">
        <f>SUM(H77:I77)</f>
        <v>773771.05</v>
      </c>
      <c r="K77" s="59">
        <f>J77/L77</f>
        <v>773771.05</v>
      </c>
      <c r="L77" s="18">
        <v>1</v>
      </c>
      <c r="M77" s="65">
        <v>0</v>
      </c>
      <c r="N77" s="18">
        <f>SUM(L77:M77)</f>
        <v>1</v>
      </c>
      <c r="O77" s="66">
        <v>45435</v>
      </c>
      <c r="P77" s="67">
        <v>45799</v>
      </c>
      <c r="Q77" s="18" t="str">
        <f>TEXT(O77,"mmmm")</f>
        <v>May</v>
      </c>
      <c r="R77" s="18">
        <f>YEAR(O77)</f>
        <v>2024</v>
      </c>
      <c r="S77" s="18" t="s">
        <v>28</v>
      </c>
      <c r="T77" s="18" t="s">
        <v>28</v>
      </c>
      <c r="U77" s="18"/>
      <c r="V77" s="18"/>
      <c r="W77" s="74">
        <v>45435</v>
      </c>
      <c r="X77" s="58">
        <f>ROUND(M77/L77,2)</f>
        <v>0</v>
      </c>
      <c r="Y77" t="str">
        <f>IF(L77&lt;=29,"Hares",IF(L77&lt;=99,"Tigers",IF(L77&lt;=499,"Elephants","Whales")))</f>
        <v>Hares</v>
      </c>
    </row>
    <row r="78" spans="1:29" ht="15.75" customHeight="1">
      <c r="A78" s="18" t="s">
        <v>41</v>
      </c>
      <c r="B78" s="62" t="s">
        <v>90</v>
      </c>
      <c r="C78" s="58" t="s">
        <v>27</v>
      </c>
      <c r="D78" s="51" t="s">
        <v>91</v>
      </c>
      <c r="E78" s="59">
        <v>4936395</v>
      </c>
      <c r="F78" s="59">
        <f>E78*5%</f>
        <v>246819.75</v>
      </c>
      <c r="G78" s="59">
        <v>0</v>
      </c>
      <c r="H78" s="59">
        <f>SUM(E78:G78)</f>
        <v>5183214.75</v>
      </c>
      <c r="I78" s="59">
        <f>180000+15000+2700+7500000+810000+145800</f>
        <v>8653500</v>
      </c>
      <c r="J78" s="59">
        <f>SUM(H78:I78)</f>
        <v>13836714.75</v>
      </c>
      <c r="K78" s="59">
        <f>J78/L78</f>
        <v>432397.3359375</v>
      </c>
      <c r="L78" s="18">
        <v>32</v>
      </c>
      <c r="M78" s="65">
        <f>55-32</f>
        <v>23</v>
      </c>
      <c r="N78" s="18">
        <f>SUM(L78:M78)</f>
        <v>55</v>
      </c>
      <c r="O78" s="79">
        <v>45439</v>
      </c>
      <c r="P78" s="80">
        <v>45803</v>
      </c>
      <c r="Q78" s="18" t="str">
        <f>TEXT(O78,"mmmm")</f>
        <v>May</v>
      </c>
      <c r="R78" s="18">
        <f>YEAR(O78)</f>
        <v>2024</v>
      </c>
      <c r="S78" s="18" t="s">
        <v>40</v>
      </c>
      <c r="T78" s="18" t="s">
        <v>103</v>
      </c>
      <c r="U78" s="18" t="s">
        <v>30</v>
      </c>
      <c r="V78" s="18"/>
      <c r="W78" s="83">
        <v>45379</v>
      </c>
      <c r="X78" s="58">
        <f>ROUND(M78/L78,2)</f>
        <v>0.72</v>
      </c>
      <c r="Y78" t="str">
        <f>IF(L78&lt;=29,"Hares",IF(L78&lt;=99,"Tigers",IF(L78&lt;=499,"Elephants","Whales")))</f>
        <v>Tigers</v>
      </c>
      <c r="Z78" s="53"/>
      <c r="AA78" s="53"/>
      <c r="AB78" s="53"/>
      <c r="AC78" s="53"/>
    </row>
    <row r="79" spans="1:29" ht="15.75" customHeight="1">
      <c r="A79" s="18" t="s">
        <v>129</v>
      </c>
      <c r="B79" s="18" t="s">
        <v>26</v>
      </c>
      <c r="C79" s="58" t="s">
        <v>27</v>
      </c>
      <c r="D79" s="58" t="s">
        <v>27</v>
      </c>
      <c r="E79" s="59">
        <v>1277471</v>
      </c>
      <c r="F79" s="59">
        <f>E79*5%</f>
        <v>63873.55</v>
      </c>
      <c r="G79" s="59">
        <v>30000</v>
      </c>
      <c r="H79" s="59">
        <f>SUM(E79:G79)</f>
        <v>1371344.55</v>
      </c>
      <c r="I79" s="59">
        <v>0</v>
      </c>
      <c r="J79" s="59">
        <f>SUM(H79:I79)</f>
        <v>1371344.55</v>
      </c>
      <c r="K79" s="59">
        <f>J79/L79</f>
        <v>1371344.55</v>
      </c>
      <c r="L79" s="18">
        <v>1</v>
      </c>
      <c r="M79" s="65">
        <v>2</v>
      </c>
      <c r="N79" s="18">
        <f>SUM(L79:M79)</f>
        <v>3</v>
      </c>
      <c r="O79" s="66">
        <v>45441</v>
      </c>
      <c r="P79" s="67">
        <v>45807</v>
      </c>
      <c r="Q79" s="18" t="str">
        <f>TEXT(O79,"mmmm")</f>
        <v>May</v>
      </c>
      <c r="R79" s="18">
        <f>YEAR(O79)</f>
        <v>2024</v>
      </c>
      <c r="S79" s="18" t="s">
        <v>28</v>
      </c>
      <c r="T79" s="18" t="s">
        <v>130</v>
      </c>
      <c r="U79" s="18" t="s">
        <v>30</v>
      </c>
      <c r="V79" s="51" t="s">
        <v>82</v>
      </c>
      <c r="W79" s="74">
        <v>45421</v>
      </c>
      <c r="X79" s="58">
        <f>ROUND(M79/L79,2)</f>
        <v>2</v>
      </c>
      <c r="Y79" t="str">
        <f>IF(L79&lt;=29,"Hares",IF(L79&lt;=99,"Tigers",IF(L79&lt;=499,"Elephants","Whales")))</f>
        <v>Hares</v>
      </c>
    </row>
    <row r="80" spans="1:29" ht="15.75" customHeight="1">
      <c r="A80" s="18" t="s">
        <v>131</v>
      </c>
      <c r="B80" s="18" t="s">
        <v>26</v>
      </c>
      <c r="C80" s="58" t="s">
        <v>27</v>
      </c>
      <c r="D80" s="58" t="s">
        <v>27</v>
      </c>
      <c r="E80" s="59">
        <v>519366</v>
      </c>
      <c r="F80" s="59">
        <f>E80*5%</f>
        <v>25968.300000000003</v>
      </c>
      <c r="G80" s="59">
        <v>10000</v>
      </c>
      <c r="H80" s="59">
        <f>SUM(E80:G80)</f>
        <v>555334.30000000005</v>
      </c>
      <c r="I80" s="59">
        <v>0</v>
      </c>
      <c r="J80" s="59">
        <f>SUM(H80:I80)</f>
        <v>555334.30000000005</v>
      </c>
      <c r="K80" s="59">
        <f>J80/L80</f>
        <v>555334.30000000005</v>
      </c>
      <c r="L80" s="18">
        <v>1</v>
      </c>
      <c r="M80" s="65">
        <v>0</v>
      </c>
      <c r="N80" s="18">
        <f>SUM(L80:M80)</f>
        <v>1</v>
      </c>
      <c r="O80" s="66">
        <v>45443</v>
      </c>
      <c r="P80" s="67">
        <v>45807</v>
      </c>
      <c r="Q80" s="18" t="str">
        <f>TEXT(O80,"mmmm")</f>
        <v>May</v>
      </c>
      <c r="R80" s="18">
        <f>YEAR(O80)</f>
        <v>2024</v>
      </c>
      <c r="S80" s="18" t="s">
        <v>28</v>
      </c>
      <c r="T80" s="18" t="s">
        <v>29</v>
      </c>
      <c r="U80" s="18" t="s">
        <v>30</v>
      </c>
      <c r="V80" s="51" t="s">
        <v>31</v>
      </c>
      <c r="W80" s="74">
        <v>45442</v>
      </c>
      <c r="X80" s="58">
        <f>ROUND(M80/L80,2)</f>
        <v>0</v>
      </c>
      <c r="Y80" t="str">
        <f>IF(L80&lt;=29,"Hares",IF(L80&lt;=99,"Tigers",IF(L80&lt;=499,"Elephants","Whales")))</f>
        <v>Hares</v>
      </c>
      <c r="Z80" s="53"/>
      <c r="AA80" s="53"/>
      <c r="AB80" s="53"/>
      <c r="AC80" s="53"/>
    </row>
    <row r="81" spans="1:29" ht="15.75" customHeight="1">
      <c r="A81" s="18" t="s">
        <v>134</v>
      </c>
      <c r="B81" s="18" t="s">
        <v>26</v>
      </c>
      <c r="C81" s="58" t="s">
        <v>27</v>
      </c>
      <c r="D81" s="58" t="s">
        <v>27</v>
      </c>
      <c r="E81" s="59">
        <v>11530052</v>
      </c>
      <c r="F81" s="59">
        <f>E81*5%</f>
        <v>576502.6</v>
      </c>
      <c r="G81" s="59">
        <v>170000</v>
      </c>
      <c r="H81" s="59">
        <f>SUM(E81:G81)</f>
        <v>12276554.6</v>
      </c>
      <c r="I81" s="59">
        <v>0</v>
      </c>
      <c r="J81" s="59">
        <f>SUM(H81:I81)</f>
        <v>12276554.6</v>
      </c>
      <c r="K81" s="59">
        <f>J81/L81</f>
        <v>876896.75714285707</v>
      </c>
      <c r="L81" s="18">
        <v>14</v>
      </c>
      <c r="M81" s="65">
        <v>3</v>
      </c>
      <c r="N81" s="18">
        <f>SUM(L81:M81)</f>
        <v>17</v>
      </c>
      <c r="O81" s="66">
        <v>45444</v>
      </c>
      <c r="P81" s="67">
        <v>45808</v>
      </c>
      <c r="Q81" s="18" t="str">
        <f>TEXT(O81,"mmmm")</f>
        <v>June</v>
      </c>
      <c r="R81" s="18">
        <f>YEAR(O81)</f>
        <v>2024</v>
      </c>
      <c r="S81" s="18" t="s">
        <v>28</v>
      </c>
      <c r="T81" s="18" t="s">
        <v>28</v>
      </c>
      <c r="U81" s="18"/>
      <c r="V81" s="18"/>
      <c r="W81" s="74">
        <v>45429</v>
      </c>
      <c r="X81" s="58">
        <f>ROUND(M81/L81,2)</f>
        <v>0.21</v>
      </c>
      <c r="Y81" t="str">
        <f>IF(L81&lt;=29,"Hares",IF(L81&lt;=99,"Tigers",IF(L81&lt;=499,"Elephants","Whales")))</f>
        <v>Hares</v>
      </c>
    </row>
    <row r="82" spans="1:29" ht="15.75" customHeight="1">
      <c r="A82" s="18" t="s">
        <v>132</v>
      </c>
      <c r="B82" s="18" t="s">
        <v>26</v>
      </c>
      <c r="C82" s="58" t="s">
        <v>27</v>
      </c>
      <c r="D82" s="58" t="s">
        <v>27</v>
      </c>
      <c r="E82" s="59">
        <v>131969250</v>
      </c>
      <c r="F82" s="59">
        <f>E82*5%</f>
        <v>6598462.5</v>
      </c>
      <c r="G82" s="59">
        <v>1527500</v>
      </c>
      <c r="H82" s="59">
        <f>SUM(E82:G82)</f>
        <v>140095212.5</v>
      </c>
      <c r="I82" s="59">
        <v>0</v>
      </c>
      <c r="J82" s="59">
        <f>SUM(H82:I82)</f>
        <v>140095212.5</v>
      </c>
      <c r="K82" s="59">
        <f>J82/L82</f>
        <v>741244.51058201061</v>
      </c>
      <c r="L82" s="18">
        <v>189</v>
      </c>
      <c r="M82" s="65">
        <f>611-L82</f>
        <v>422</v>
      </c>
      <c r="N82" s="18">
        <f>SUM(L82:M82)</f>
        <v>611</v>
      </c>
      <c r="O82" s="66">
        <v>45444</v>
      </c>
      <c r="P82" s="67">
        <v>45808</v>
      </c>
      <c r="Q82" s="18" t="str">
        <f>TEXT(O82,"mmmm")</f>
        <v>June</v>
      </c>
      <c r="R82" s="18">
        <f>YEAR(O82)</f>
        <v>2024</v>
      </c>
      <c r="S82" s="18" t="s">
        <v>34</v>
      </c>
      <c r="T82" s="18" t="s">
        <v>133</v>
      </c>
      <c r="U82" s="18"/>
      <c r="V82" s="18"/>
      <c r="W82" s="74">
        <v>45411</v>
      </c>
      <c r="X82" s="58">
        <f>ROUND(M82/L82,2)</f>
        <v>2.23</v>
      </c>
      <c r="Y82" t="str">
        <f>IF(L82&lt;=29,"Hares",IF(L82&lt;=99,"Tigers",IF(L82&lt;=499,"Elephants","Whales")))</f>
        <v>Elephants</v>
      </c>
    </row>
    <row r="83" spans="1:29" ht="15.75" customHeight="1">
      <c r="A83" s="18" t="s">
        <v>135</v>
      </c>
      <c r="B83" s="18" t="s">
        <v>26</v>
      </c>
      <c r="C83" s="58" t="s">
        <v>27</v>
      </c>
      <c r="D83" s="58" t="s">
        <v>27</v>
      </c>
      <c r="E83" s="59">
        <v>58386990.541000001</v>
      </c>
      <c r="F83" s="59">
        <f>E83*5%</f>
        <v>2919349.5270500001</v>
      </c>
      <c r="G83" s="59">
        <v>1635000</v>
      </c>
      <c r="H83" s="59">
        <f>SUM(E83:G83)</f>
        <v>62941340.068050005</v>
      </c>
      <c r="I83" s="59">
        <v>0</v>
      </c>
      <c r="J83" s="59">
        <f>SUM(H83:I83)</f>
        <v>62941340.068050005</v>
      </c>
      <c r="K83" s="59">
        <f>J83/L83</f>
        <v>440149.23124510492</v>
      </c>
      <c r="L83" s="18">
        <v>143</v>
      </c>
      <c r="M83" s="65">
        <f>338-L83</f>
        <v>195</v>
      </c>
      <c r="N83" s="18">
        <f>SUM(L83:M83)</f>
        <v>338</v>
      </c>
      <c r="O83" s="66">
        <v>45444</v>
      </c>
      <c r="P83" s="67">
        <v>45808</v>
      </c>
      <c r="Q83" s="18" t="str">
        <f>TEXT(O83,"mmmm")</f>
        <v>June</v>
      </c>
      <c r="R83" s="18">
        <f>YEAR(O83)</f>
        <v>2024</v>
      </c>
      <c r="S83" s="18" t="s">
        <v>34</v>
      </c>
      <c r="T83" s="18" t="s">
        <v>113</v>
      </c>
      <c r="U83" s="18"/>
      <c r="V83" s="18"/>
      <c r="W83" s="74">
        <v>45345</v>
      </c>
      <c r="X83" s="58">
        <f>ROUND(M83/L83,2)</f>
        <v>1.36</v>
      </c>
      <c r="Y83" t="str">
        <f>IF(L83&lt;=29,"Hares",IF(L83&lt;=99,"Tigers",IF(L83&lt;=499,"Elephants","Whales")))</f>
        <v>Elephants</v>
      </c>
      <c r="Z83" s="53"/>
      <c r="AA83" s="53"/>
      <c r="AB83" s="53"/>
      <c r="AC83" s="53"/>
    </row>
    <row r="84" spans="1:29" ht="15.75" customHeight="1">
      <c r="A84" s="18" t="s">
        <v>138</v>
      </c>
      <c r="B84" s="18" t="s">
        <v>26</v>
      </c>
      <c r="C84" s="58" t="s">
        <v>27</v>
      </c>
      <c r="D84" s="58" t="s">
        <v>27</v>
      </c>
      <c r="E84" s="59">
        <v>1111499</v>
      </c>
      <c r="F84" s="59">
        <f>E84*5%</f>
        <v>55574.950000000004</v>
      </c>
      <c r="G84" s="59">
        <v>20000</v>
      </c>
      <c r="H84" s="59">
        <f>SUM(E84:G84)</f>
        <v>1187073.95</v>
      </c>
      <c r="I84" s="59">
        <v>0</v>
      </c>
      <c r="J84" s="59">
        <f>SUM(H84:I84)</f>
        <v>1187073.95</v>
      </c>
      <c r="K84" s="59">
        <f>J84/L84</f>
        <v>1187073.95</v>
      </c>
      <c r="L84" s="18">
        <v>1</v>
      </c>
      <c r="M84" s="65">
        <v>1</v>
      </c>
      <c r="N84" s="18">
        <f>SUM(L84:M84)</f>
        <v>2</v>
      </c>
      <c r="O84" s="66">
        <v>45453</v>
      </c>
      <c r="P84" s="67">
        <v>45817</v>
      </c>
      <c r="Q84" s="18" t="str">
        <f>TEXT(O84,"mmmm")</f>
        <v>June</v>
      </c>
      <c r="R84" s="18">
        <f>YEAR(O84)</f>
        <v>2024</v>
      </c>
      <c r="S84" s="18" t="s">
        <v>28</v>
      </c>
      <c r="T84" s="18" t="s">
        <v>85</v>
      </c>
      <c r="U84" s="18" t="s">
        <v>30</v>
      </c>
      <c r="V84" s="51" t="s">
        <v>86</v>
      </c>
      <c r="W84" s="74">
        <v>45439</v>
      </c>
      <c r="X84" s="58">
        <f>ROUND(M84/L84,2)</f>
        <v>1</v>
      </c>
      <c r="Y84" t="str">
        <f>IF(L84&lt;=29,"Hares",IF(L84&lt;=99,"Tigers",IF(L84&lt;=499,"Elephants","Whales")))</f>
        <v>Hares</v>
      </c>
    </row>
    <row r="85" spans="1:29" ht="15.75" customHeight="1">
      <c r="A85" s="18" t="s">
        <v>136</v>
      </c>
      <c r="B85" s="18" t="s">
        <v>26</v>
      </c>
      <c r="C85" s="58" t="s">
        <v>27</v>
      </c>
      <c r="D85" s="58" t="s">
        <v>27</v>
      </c>
      <c r="E85" s="59">
        <v>1476299</v>
      </c>
      <c r="F85" s="59">
        <f>E85*5%</f>
        <v>73814.95</v>
      </c>
      <c r="G85" s="59">
        <v>20000</v>
      </c>
      <c r="H85" s="59">
        <f>SUM(E85:G85)</f>
        <v>1570113.95</v>
      </c>
      <c r="I85" s="59">
        <v>0</v>
      </c>
      <c r="J85" s="59">
        <f>SUM(H85:I85)</f>
        <v>1570113.95</v>
      </c>
      <c r="K85" s="59">
        <f>J85/L85</f>
        <v>1570113.95</v>
      </c>
      <c r="L85" s="18">
        <v>1</v>
      </c>
      <c r="M85" s="65">
        <v>1</v>
      </c>
      <c r="N85" s="18">
        <f>SUM(L85:M85)</f>
        <v>2</v>
      </c>
      <c r="O85" s="66">
        <v>45453</v>
      </c>
      <c r="P85" s="67">
        <v>45817</v>
      </c>
      <c r="Q85" s="18" t="str">
        <f>TEXT(O85,"mmmm")</f>
        <v>June</v>
      </c>
      <c r="R85" s="18">
        <f>YEAR(O85)</f>
        <v>2024</v>
      </c>
      <c r="S85" s="18" t="s">
        <v>34</v>
      </c>
      <c r="T85" s="18" t="s">
        <v>137</v>
      </c>
      <c r="U85" s="18"/>
      <c r="V85" s="18"/>
      <c r="W85" s="74">
        <v>45436</v>
      </c>
      <c r="X85" s="58">
        <f>ROUND(M85/L85,2)</f>
        <v>1</v>
      </c>
      <c r="Y85" t="str">
        <f>IF(L85&lt;=29,"Hares",IF(L85&lt;=99,"Tigers",IF(L85&lt;=499,"Elephants","Whales")))</f>
        <v>Hares</v>
      </c>
      <c r="Z85" s="53"/>
      <c r="AA85" s="53"/>
      <c r="AB85" s="53"/>
      <c r="AC85" s="53"/>
    </row>
    <row r="86" spans="1:29" ht="15.75" customHeight="1">
      <c r="A86" s="18" t="s">
        <v>139</v>
      </c>
      <c r="B86" s="18" t="s">
        <v>26</v>
      </c>
      <c r="C86" s="58" t="s">
        <v>27</v>
      </c>
      <c r="D86" s="58" t="s">
        <v>27</v>
      </c>
      <c r="E86" s="59">
        <v>1240172</v>
      </c>
      <c r="F86" s="59">
        <f>E86*5%</f>
        <v>62008.600000000006</v>
      </c>
      <c r="G86" s="59">
        <v>20000</v>
      </c>
      <c r="H86" s="59">
        <f>SUM(E86:G86)</f>
        <v>1322180.6000000001</v>
      </c>
      <c r="I86" s="59">
        <v>0</v>
      </c>
      <c r="J86" s="59">
        <f>SUM(H86:I86)</f>
        <v>1322180.6000000001</v>
      </c>
      <c r="K86" s="59">
        <f>J86/L86</f>
        <v>661090.30000000005</v>
      </c>
      <c r="L86" s="18">
        <v>2</v>
      </c>
      <c r="M86" s="65">
        <v>0</v>
      </c>
      <c r="N86" s="18">
        <f>SUM(L86:M86)</f>
        <v>2</v>
      </c>
      <c r="O86" s="66">
        <v>45455</v>
      </c>
      <c r="P86" s="67">
        <v>45819</v>
      </c>
      <c r="Q86" s="18" t="str">
        <f>TEXT(O86,"mmmm")</f>
        <v>June</v>
      </c>
      <c r="R86" s="18">
        <f>YEAR(O86)</f>
        <v>2024</v>
      </c>
      <c r="S86" s="18" t="s">
        <v>28</v>
      </c>
      <c r="T86" s="18" t="s">
        <v>28</v>
      </c>
      <c r="U86" s="18"/>
      <c r="V86" s="18"/>
      <c r="W86" s="74">
        <v>45414</v>
      </c>
      <c r="X86" s="58">
        <f>ROUND(M86/L86,2)</f>
        <v>0</v>
      </c>
      <c r="Y86" t="str">
        <f>IF(L86&lt;=29,"Hares",IF(L86&lt;=99,"Tigers",IF(L86&lt;=499,"Elephants","Whales")))</f>
        <v>Hares</v>
      </c>
    </row>
    <row r="87" spans="1:29" ht="15.75" customHeight="1">
      <c r="A87" s="18" t="s">
        <v>140</v>
      </c>
      <c r="B87" s="18" t="s">
        <v>26</v>
      </c>
      <c r="C87" s="58" t="s">
        <v>27</v>
      </c>
      <c r="D87" s="58" t="s">
        <v>27</v>
      </c>
      <c r="E87" s="59">
        <v>2839401</v>
      </c>
      <c r="F87" s="59">
        <f>E87*5%</f>
        <v>141970.05000000002</v>
      </c>
      <c r="G87" s="59">
        <v>50000</v>
      </c>
      <c r="H87" s="59">
        <f>SUM(E87:G87)</f>
        <v>3031371.05</v>
      </c>
      <c r="I87" s="59">
        <v>0</v>
      </c>
      <c r="J87" s="59">
        <f>SUM(H87:I87)</f>
        <v>3031371.05</v>
      </c>
      <c r="K87" s="59">
        <f>J87/L87</f>
        <v>3031371.05</v>
      </c>
      <c r="L87" s="18">
        <v>1</v>
      </c>
      <c r="M87" s="65">
        <v>4</v>
      </c>
      <c r="N87" s="18">
        <f>SUM(L87:M87)</f>
        <v>5</v>
      </c>
      <c r="O87" s="66">
        <v>45455</v>
      </c>
      <c r="P87" s="67">
        <v>45835</v>
      </c>
      <c r="Q87" s="18" t="str">
        <f>TEXT(O87,"mmmm")</f>
        <v>June</v>
      </c>
      <c r="R87" s="18">
        <f>YEAR(O87)</f>
        <v>2024</v>
      </c>
      <c r="S87" s="18" t="s">
        <v>28</v>
      </c>
      <c r="T87" s="18" t="s">
        <v>28</v>
      </c>
      <c r="U87" s="18"/>
      <c r="V87" s="18"/>
      <c r="W87" s="74">
        <v>45405</v>
      </c>
      <c r="X87" s="58">
        <f>ROUND(M87/L87,2)</f>
        <v>4</v>
      </c>
      <c r="Y87" t="str">
        <f>IF(L87&lt;=29,"Hares",IF(L87&lt;=99,"Tigers",IF(L87&lt;=499,"Elephants","Whales")))</f>
        <v>Hares</v>
      </c>
    </row>
    <row r="88" spans="1:29" ht="15.75" customHeight="1">
      <c r="A88" s="18" t="s">
        <v>141</v>
      </c>
      <c r="B88" s="18" t="s">
        <v>26</v>
      </c>
      <c r="C88" s="58" t="s">
        <v>27</v>
      </c>
      <c r="D88" s="58" t="s">
        <v>27</v>
      </c>
      <c r="E88" s="59">
        <v>456030</v>
      </c>
      <c r="F88" s="59">
        <f>E88*5%</f>
        <v>22801.5</v>
      </c>
      <c r="G88" s="59">
        <v>10000</v>
      </c>
      <c r="H88" s="59">
        <f>SUM(E88:G88)</f>
        <v>488831.5</v>
      </c>
      <c r="I88" s="59">
        <v>0</v>
      </c>
      <c r="J88" s="59">
        <f>SUM(H88:I88)</f>
        <v>488831.5</v>
      </c>
      <c r="K88" s="59">
        <f>J88/L88</f>
        <v>488831.5</v>
      </c>
      <c r="L88" s="18">
        <v>1</v>
      </c>
      <c r="M88" s="65">
        <v>0</v>
      </c>
      <c r="N88" s="18">
        <f>SUM(L88:M88)</f>
        <v>1</v>
      </c>
      <c r="O88" s="66">
        <v>45455</v>
      </c>
      <c r="P88" s="67">
        <v>45835</v>
      </c>
      <c r="Q88" s="18" t="str">
        <f>TEXT(O88,"mmmm")</f>
        <v>June</v>
      </c>
      <c r="R88" s="18">
        <f>YEAR(O88)</f>
        <v>2024</v>
      </c>
      <c r="S88" s="18" t="s">
        <v>28</v>
      </c>
      <c r="T88" s="18" t="s">
        <v>28</v>
      </c>
      <c r="U88" s="18"/>
      <c r="V88" s="18"/>
      <c r="W88" s="74">
        <v>45448</v>
      </c>
      <c r="X88" s="58">
        <f>ROUND(M88/L88,2)</f>
        <v>0</v>
      </c>
      <c r="Y88" t="str">
        <f>IF(L88&lt;=29,"Hares",IF(L88&lt;=99,"Tigers",IF(L88&lt;=499,"Elephants","Whales")))</f>
        <v>Hares</v>
      </c>
    </row>
    <row r="89" spans="1:29" ht="15.75" customHeight="1">
      <c r="A89" s="18" t="s">
        <v>142</v>
      </c>
      <c r="B89" s="18" t="s">
        <v>26</v>
      </c>
      <c r="C89" s="58" t="s">
        <v>27</v>
      </c>
      <c r="D89" s="58" t="s">
        <v>27</v>
      </c>
      <c r="E89" s="59">
        <v>510698</v>
      </c>
      <c r="F89" s="59">
        <f>E89*5%</f>
        <v>25534.9</v>
      </c>
      <c r="G89" s="59">
        <v>10000</v>
      </c>
      <c r="H89" s="59">
        <f>SUM(E89:G89)</f>
        <v>546232.9</v>
      </c>
      <c r="I89" s="59">
        <v>0</v>
      </c>
      <c r="J89" s="59">
        <f>SUM(H89:I89)</f>
        <v>546232.9</v>
      </c>
      <c r="K89" s="59">
        <f>J89/L89</f>
        <v>546232.9</v>
      </c>
      <c r="L89" s="18">
        <v>1</v>
      </c>
      <c r="M89" s="65">
        <v>0</v>
      </c>
      <c r="N89" s="18">
        <f>SUM(L89:M89)</f>
        <v>1</v>
      </c>
      <c r="O89" s="66">
        <v>45456</v>
      </c>
      <c r="P89" s="67">
        <v>45820</v>
      </c>
      <c r="Q89" s="18" t="str">
        <f>TEXT(O89,"mmmm")</f>
        <v>June</v>
      </c>
      <c r="R89" s="18">
        <f>YEAR(O89)</f>
        <v>2024</v>
      </c>
      <c r="S89" s="18" t="s">
        <v>28</v>
      </c>
      <c r="T89" s="18" t="s">
        <v>28</v>
      </c>
      <c r="U89" s="18"/>
      <c r="V89" s="18"/>
      <c r="W89" s="74">
        <v>45455</v>
      </c>
      <c r="X89" s="58">
        <f>ROUND(M89/L89,2)</f>
        <v>0</v>
      </c>
      <c r="Y89" t="str">
        <f>IF(L89&lt;=29,"Hares",IF(L89&lt;=99,"Tigers",IF(L89&lt;=499,"Elephants","Whales")))</f>
        <v>Hares</v>
      </c>
    </row>
    <row r="90" spans="1:29" ht="15.75" customHeight="1">
      <c r="A90" s="18" t="s">
        <v>143</v>
      </c>
      <c r="B90" s="18" t="s">
        <v>26</v>
      </c>
      <c r="C90" s="58" t="s">
        <v>27</v>
      </c>
      <c r="D90" s="58" t="s">
        <v>27</v>
      </c>
      <c r="E90" s="59">
        <v>1499117</v>
      </c>
      <c r="F90" s="59">
        <f>E90*5%</f>
        <v>74955.850000000006</v>
      </c>
      <c r="G90" s="59">
        <v>30000</v>
      </c>
      <c r="H90" s="59">
        <f>SUM(E90:G90)</f>
        <v>1604072.85</v>
      </c>
      <c r="I90" s="59">
        <v>0</v>
      </c>
      <c r="J90" s="59">
        <f>SUM(H90:I90)</f>
        <v>1604072.85</v>
      </c>
      <c r="K90" s="59">
        <f>J90/L90</f>
        <v>1604072.85</v>
      </c>
      <c r="L90" s="18">
        <v>1</v>
      </c>
      <c r="M90" s="65">
        <v>2</v>
      </c>
      <c r="N90" s="18">
        <f>SUM(L90:M90)</f>
        <v>3</v>
      </c>
      <c r="O90" s="66">
        <v>45456</v>
      </c>
      <c r="P90" s="67">
        <v>45820</v>
      </c>
      <c r="Q90" s="18" t="str">
        <f>TEXT(O90,"mmmm")</f>
        <v>June</v>
      </c>
      <c r="R90" s="18">
        <f>YEAR(O90)</f>
        <v>2024</v>
      </c>
      <c r="S90" s="18" t="s">
        <v>28</v>
      </c>
      <c r="T90" s="18" t="s">
        <v>28</v>
      </c>
      <c r="U90" s="18"/>
      <c r="V90" s="18"/>
      <c r="W90" s="74">
        <v>45453</v>
      </c>
      <c r="X90" s="58">
        <f>ROUND(M90/L90,2)</f>
        <v>2</v>
      </c>
      <c r="Y90" t="str">
        <f>IF(L90&lt;=29,"Hares",IF(L90&lt;=99,"Tigers",IF(L90&lt;=499,"Elephants","Whales")))</f>
        <v>Hares</v>
      </c>
    </row>
    <row r="91" spans="1:29" ht="15" customHeight="1">
      <c r="A91" s="18" t="s">
        <v>42</v>
      </c>
      <c r="B91" s="62" t="s">
        <v>90</v>
      </c>
      <c r="C91" s="58" t="s">
        <v>27</v>
      </c>
      <c r="D91" s="51" t="s">
        <v>91</v>
      </c>
      <c r="E91" s="59">
        <v>6794224</v>
      </c>
      <c r="F91" s="59">
        <f>E91*5%</f>
        <v>339711.2</v>
      </c>
      <c r="G91" s="59">
        <v>70000</v>
      </c>
      <c r="H91" s="59">
        <f>SUM(E91:G91)</f>
        <v>7203935.2000000002</v>
      </c>
      <c r="I91" s="59">
        <v>0</v>
      </c>
      <c r="J91" s="59">
        <f>SUM(H91:I91)</f>
        <v>7203935.2000000002</v>
      </c>
      <c r="K91" s="59">
        <f>J91/L91</f>
        <v>1200655.8666666667</v>
      </c>
      <c r="L91" s="18">
        <v>6</v>
      </c>
      <c r="M91" s="65">
        <v>8</v>
      </c>
      <c r="N91" s="18">
        <f>SUM(L91:M91)</f>
        <v>14</v>
      </c>
      <c r="O91" s="79">
        <v>45459</v>
      </c>
      <c r="P91" s="80">
        <v>45823</v>
      </c>
      <c r="Q91" s="18" t="str">
        <f>TEXT(O91,"mmmm")</f>
        <v>June</v>
      </c>
      <c r="R91" s="18">
        <f>YEAR(O91)</f>
        <v>2024</v>
      </c>
      <c r="S91" s="18" t="s">
        <v>34</v>
      </c>
      <c r="T91" s="18" t="s">
        <v>113</v>
      </c>
      <c r="U91" s="18"/>
      <c r="V91" s="18"/>
      <c r="W91" s="83">
        <v>45419</v>
      </c>
      <c r="X91" s="58">
        <f>ROUND(M91/L91,2)</f>
        <v>1.33</v>
      </c>
      <c r="Y91" t="str">
        <f>IF(L91&lt;=29,"Hares",IF(L91&lt;=99,"Tigers",IF(L91&lt;=499,"Elephants","Whales")))</f>
        <v>Hares</v>
      </c>
      <c r="Z91" s="53"/>
      <c r="AA91" s="53"/>
      <c r="AB91" s="53"/>
      <c r="AC91" s="53"/>
    </row>
    <row r="92" spans="1:29" ht="15" customHeight="1">
      <c r="A92" s="18" t="s">
        <v>144</v>
      </c>
      <c r="B92" s="18" t="s">
        <v>26</v>
      </c>
      <c r="C92" s="58" t="s">
        <v>27</v>
      </c>
      <c r="D92" s="58" t="s">
        <v>27</v>
      </c>
      <c r="E92" s="59">
        <v>157313</v>
      </c>
      <c r="F92" s="59">
        <f>E92*5%</f>
        <v>7865.6500000000005</v>
      </c>
      <c r="G92" s="59">
        <v>0</v>
      </c>
      <c r="H92" s="59">
        <f>SUM(E92:G92)</f>
        <v>165178.65</v>
      </c>
      <c r="I92" s="59">
        <v>0</v>
      </c>
      <c r="J92" s="59">
        <f>SUM(H92:I92)</f>
        <v>165178.65</v>
      </c>
      <c r="K92" s="59">
        <f>J92/L92</f>
        <v>165178.65</v>
      </c>
      <c r="L92" s="18">
        <v>1</v>
      </c>
      <c r="M92" s="65">
        <v>0</v>
      </c>
      <c r="N92" s="18">
        <f>SUM(L92:M92)</f>
        <v>1</v>
      </c>
      <c r="O92" s="66">
        <v>45461</v>
      </c>
      <c r="P92" s="67">
        <v>45825</v>
      </c>
      <c r="Q92" s="18" t="str">
        <f>TEXT(O92,"mmmm")</f>
        <v>June</v>
      </c>
      <c r="R92" s="18">
        <f>YEAR(O92)</f>
        <v>2024</v>
      </c>
      <c r="S92" s="18" t="s">
        <v>28</v>
      </c>
      <c r="T92" s="18" t="s">
        <v>28</v>
      </c>
      <c r="U92" s="18"/>
      <c r="V92" s="18"/>
      <c r="W92" s="74">
        <v>45455</v>
      </c>
      <c r="X92" s="58">
        <f>ROUND(M92/L92,2)</f>
        <v>0</v>
      </c>
      <c r="Y92" t="str">
        <f>IF(L92&lt;=29,"Hares",IF(L92&lt;=99,"Tigers",IF(L92&lt;=499,"Elephants","Whales")))</f>
        <v>Hares</v>
      </c>
    </row>
    <row r="93" spans="1:29" s="53" customFormat="1" ht="16.5">
      <c r="A93" s="18" t="s">
        <v>145</v>
      </c>
      <c r="B93" s="62" t="s">
        <v>90</v>
      </c>
      <c r="C93" s="58" t="s">
        <v>27</v>
      </c>
      <c r="D93" s="51" t="s">
        <v>91</v>
      </c>
      <c r="E93" s="59">
        <v>23221393</v>
      </c>
      <c r="F93" s="59">
        <f>E93*5%</f>
        <v>1161069.6500000001</v>
      </c>
      <c r="G93" s="59">
        <v>570000</v>
      </c>
      <c r="H93" s="59">
        <f>SUM(E93:G93)</f>
        <v>24952462.649999999</v>
      </c>
      <c r="I93" s="59">
        <v>0</v>
      </c>
      <c r="J93" s="59">
        <f>SUM(H93:I93)</f>
        <v>24952462.649999999</v>
      </c>
      <c r="K93" s="59">
        <f>J93/L93</f>
        <v>1084889.6804347825</v>
      </c>
      <c r="L93" s="18">
        <v>23</v>
      </c>
      <c r="M93" s="65">
        <v>34</v>
      </c>
      <c r="N93" s="18">
        <f>SUM(L93:M93)</f>
        <v>57</v>
      </c>
      <c r="O93" s="79">
        <v>45461</v>
      </c>
      <c r="P93" s="80">
        <v>45825</v>
      </c>
      <c r="Q93" s="18" t="str">
        <f>TEXT(O93,"mmmm")</f>
        <v>June</v>
      </c>
      <c r="R93" s="18">
        <f>YEAR(O93)</f>
        <v>2024</v>
      </c>
      <c r="S93" s="18" t="s">
        <v>34</v>
      </c>
      <c r="T93" s="53" t="s">
        <v>113</v>
      </c>
      <c r="W93" s="84">
        <v>45444</v>
      </c>
      <c r="X93" s="87">
        <f>ROUND(M93/L93,2)</f>
        <v>1.48</v>
      </c>
      <c r="Y93" t="str">
        <f>IF(L93&lt;=29,"Hares",IF(L93&lt;=99,"Tigers",IF(L93&lt;=499,"Elephants","Whales")))</f>
        <v>Hares</v>
      </c>
    </row>
    <row r="94" spans="1:29" s="53" customFormat="1" ht="16.5">
      <c r="A94" s="18" t="s">
        <v>146</v>
      </c>
      <c r="B94" s="18" t="s">
        <v>26</v>
      </c>
      <c r="C94" s="58" t="s">
        <v>27</v>
      </c>
      <c r="D94" s="58" t="s">
        <v>27</v>
      </c>
      <c r="E94" s="59">
        <v>5159580</v>
      </c>
      <c r="F94" s="59">
        <f>E94*5%</f>
        <v>257979</v>
      </c>
      <c r="G94" s="59">
        <f>230000+110000</f>
        <v>340000</v>
      </c>
      <c r="H94" s="59">
        <f>SUM(E94:G94)</f>
        <v>5757559</v>
      </c>
      <c r="I94" s="59">
        <v>0</v>
      </c>
      <c r="J94" s="59">
        <f>SUM(H94:I94)</f>
        <v>5757559</v>
      </c>
      <c r="K94" s="59">
        <f>J94/L94</f>
        <v>822508.42857142852</v>
      </c>
      <c r="L94" s="18">
        <v>7</v>
      </c>
      <c r="M94" s="65">
        <v>27</v>
      </c>
      <c r="N94" s="18">
        <f>SUM(L94:M94)</f>
        <v>34</v>
      </c>
      <c r="O94" s="66">
        <v>45462</v>
      </c>
      <c r="P94" s="67">
        <v>45826</v>
      </c>
      <c r="Q94" s="18" t="str">
        <f>TEXT(O94,"mmmm")</f>
        <v>June</v>
      </c>
      <c r="R94" s="18">
        <f>YEAR(O94)</f>
        <v>2024</v>
      </c>
      <c r="S94" s="18" t="s">
        <v>28</v>
      </c>
      <c r="T94" s="89" t="s">
        <v>81</v>
      </c>
      <c r="U94" s="89" t="s">
        <v>30</v>
      </c>
      <c r="V94" s="91" t="s">
        <v>82</v>
      </c>
      <c r="W94" s="93">
        <v>45369</v>
      </c>
      <c r="X94" s="87">
        <f>ROUND(M94/L94,2)</f>
        <v>3.86</v>
      </c>
      <c r="Y94" t="str">
        <f>IF(L94&lt;=29,"Hares",IF(L94&lt;=99,"Tigers",IF(L94&lt;=499,"Elephants","Whales")))</f>
        <v>Hares</v>
      </c>
      <c r="Z94"/>
      <c r="AA94"/>
      <c r="AB94"/>
      <c r="AC94"/>
    </row>
    <row r="95" spans="1:29" s="53" customFormat="1" ht="16.5">
      <c r="A95" s="18" t="s">
        <v>147</v>
      </c>
      <c r="B95" s="18" t="s">
        <v>26</v>
      </c>
      <c r="C95" s="58" t="s">
        <v>27</v>
      </c>
      <c r="D95" s="58" t="s">
        <v>27</v>
      </c>
      <c r="E95" s="59">
        <v>1321000</v>
      </c>
      <c r="F95" s="59">
        <f>E95*5%</f>
        <v>66050</v>
      </c>
      <c r="G95" s="59">
        <v>30000</v>
      </c>
      <c r="H95" s="59">
        <f>SUM(E95:G95)</f>
        <v>1417050</v>
      </c>
      <c r="I95" s="59">
        <v>0</v>
      </c>
      <c r="J95" s="59">
        <f>SUM(H95:I95)</f>
        <v>1417050</v>
      </c>
      <c r="K95" s="59">
        <f>J95/L95</f>
        <v>1417050</v>
      </c>
      <c r="L95" s="18">
        <v>1</v>
      </c>
      <c r="M95" s="65">
        <v>2</v>
      </c>
      <c r="N95" s="18">
        <f>SUM(L95:M95)</f>
        <v>3</v>
      </c>
      <c r="O95" s="66">
        <v>45462</v>
      </c>
      <c r="P95" s="67">
        <v>45826</v>
      </c>
      <c r="Q95" s="18" t="str">
        <f>TEXT(O95,"mmmm")</f>
        <v>June</v>
      </c>
      <c r="R95" s="18">
        <f>YEAR(O95)</f>
        <v>2024</v>
      </c>
      <c r="S95" s="18" t="s">
        <v>28</v>
      </c>
      <c r="T95" s="89" t="s">
        <v>28</v>
      </c>
      <c r="U95" s="89"/>
      <c r="V95" s="89"/>
      <c r="W95" s="93">
        <v>45457</v>
      </c>
      <c r="X95" s="87">
        <f>ROUND(M95/L95,2)</f>
        <v>2</v>
      </c>
      <c r="Y95" t="str">
        <f>IF(L95&lt;=29,"Hares",IF(L95&lt;=99,"Tigers",IF(L95&lt;=499,"Elephants","Whales")))</f>
        <v>Hares</v>
      </c>
      <c r="Z95"/>
      <c r="AA95"/>
      <c r="AB95"/>
      <c r="AC95"/>
    </row>
    <row r="96" spans="1:29" s="53" customFormat="1" ht="16.5">
      <c r="A96" s="18" t="s">
        <v>44</v>
      </c>
      <c r="B96" s="62" t="s">
        <v>90</v>
      </c>
      <c r="C96" s="58" t="s">
        <v>27</v>
      </c>
      <c r="D96" s="51" t="s">
        <v>91</v>
      </c>
      <c r="E96" s="59">
        <v>2472532</v>
      </c>
      <c r="F96" s="59">
        <f>E96*5%</f>
        <v>123626.6</v>
      </c>
      <c r="G96" s="59">
        <v>70000</v>
      </c>
      <c r="H96" s="59">
        <f>SUM(E96:G96)</f>
        <v>2666158.6</v>
      </c>
      <c r="I96" s="59">
        <v>0</v>
      </c>
      <c r="J96" s="59">
        <f>SUM(H96:I96)</f>
        <v>2666158.6</v>
      </c>
      <c r="K96" s="59">
        <f>J96/L96</f>
        <v>1333079.3</v>
      </c>
      <c r="L96" s="18">
        <v>2</v>
      </c>
      <c r="M96" s="65">
        <v>5</v>
      </c>
      <c r="N96" s="18">
        <f>SUM(L96:M96)</f>
        <v>7</v>
      </c>
      <c r="O96" s="79">
        <v>45464</v>
      </c>
      <c r="P96" s="80">
        <v>45828</v>
      </c>
      <c r="Q96" s="18" t="str">
        <f>TEXT(O96,"mmmm")</f>
        <v>June</v>
      </c>
      <c r="R96" s="18">
        <f>YEAR(O96)</f>
        <v>2024</v>
      </c>
      <c r="S96" s="18" t="s">
        <v>34</v>
      </c>
      <c r="T96" s="89" t="s">
        <v>113</v>
      </c>
      <c r="U96" s="89"/>
      <c r="V96" s="89"/>
      <c r="W96" s="92">
        <v>45462</v>
      </c>
      <c r="X96" s="87">
        <f>ROUND(M96/L96,2)</f>
        <v>2.5</v>
      </c>
      <c r="Y96" t="str">
        <f>IF(L96&lt;=29,"Hares",IF(L96&lt;=99,"Tigers",IF(L96&lt;=499,"Elephants","Whales")))</f>
        <v>Hares</v>
      </c>
      <c r="Z96"/>
      <c r="AA96"/>
      <c r="AB96"/>
      <c r="AC96"/>
    </row>
    <row r="97" spans="1:29" s="53" customFormat="1" ht="16.5">
      <c r="A97" s="18" t="s">
        <v>148</v>
      </c>
      <c r="B97" s="18" t="s">
        <v>26</v>
      </c>
      <c r="C97" s="58" t="s">
        <v>27</v>
      </c>
      <c r="D97" s="58" t="s">
        <v>27</v>
      </c>
      <c r="E97" s="59">
        <f>2580935+16648201</f>
        <v>19229136</v>
      </c>
      <c r="F97" s="59">
        <f>E97*5%</f>
        <v>961456.8</v>
      </c>
      <c r="G97" s="59">
        <v>320000</v>
      </c>
      <c r="H97" s="59">
        <f>SUM(E97:G97)</f>
        <v>20510592.800000001</v>
      </c>
      <c r="I97" s="59">
        <v>0</v>
      </c>
      <c r="J97" s="59">
        <f>SUM(H97:I97)</f>
        <v>20510592.800000001</v>
      </c>
      <c r="K97" s="59">
        <f>J97/L97</f>
        <v>976694.89523809531</v>
      </c>
      <c r="L97" s="18">
        <v>21</v>
      </c>
      <c r="M97" s="65">
        <f>64-21</f>
        <v>43</v>
      </c>
      <c r="N97" s="18">
        <f>SUM(L97:M97)</f>
        <v>64</v>
      </c>
      <c r="O97" s="66">
        <v>45464</v>
      </c>
      <c r="P97" s="67">
        <v>45828</v>
      </c>
      <c r="Q97" s="18" t="str">
        <f>TEXT(O97,"mmmm")</f>
        <v>June</v>
      </c>
      <c r="R97" s="18">
        <f>YEAR(O97)</f>
        <v>2024</v>
      </c>
      <c r="S97" s="18" t="s">
        <v>28</v>
      </c>
      <c r="T97" s="53" t="s">
        <v>29</v>
      </c>
      <c r="U97" s="53" t="s">
        <v>30</v>
      </c>
      <c r="V97" s="85" t="s">
        <v>31</v>
      </c>
      <c r="W97" s="86">
        <v>45435</v>
      </c>
      <c r="X97" s="87">
        <f>ROUND(M97/L97,2)</f>
        <v>2.0499999999999998</v>
      </c>
      <c r="Y97" t="str">
        <f>IF(L97&lt;=29,"Hares",IF(L97&lt;=99,"Tigers",IF(L97&lt;=499,"Elephants","Whales")))</f>
        <v>Hares</v>
      </c>
    </row>
    <row r="98" spans="1:29" s="53" customFormat="1" ht="16.5">
      <c r="A98" s="18" t="s">
        <v>149</v>
      </c>
      <c r="B98" s="62" t="s">
        <v>26</v>
      </c>
      <c r="C98" s="58" t="s">
        <v>27</v>
      </c>
      <c r="D98" s="58" t="s">
        <v>27</v>
      </c>
      <c r="E98" s="59">
        <v>2999400</v>
      </c>
      <c r="F98" s="59">
        <f>E98*5%</f>
        <v>149970</v>
      </c>
      <c r="G98" s="59">
        <v>40000</v>
      </c>
      <c r="H98" s="59">
        <f>SUM(E98:G98)</f>
        <v>3189370</v>
      </c>
      <c r="I98" s="59">
        <v>0</v>
      </c>
      <c r="J98" s="59">
        <f>SUM(H98:I98)</f>
        <v>3189370</v>
      </c>
      <c r="K98" s="59">
        <f>J98/L98</f>
        <v>1594685</v>
      </c>
      <c r="L98" s="18">
        <v>2</v>
      </c>
      <c r="M98" s="65">
        <v>2</v>
      </c>
      <c r="N98" s="18">
        <v>4</v>
      </c>
      <c r="O98" s="79">
        <v>45467</v>
      </c>
      <c r="P98" s="80">
        <v>45831</v>
      </c>
      <c r="Q98" s="18" t="str">
        <f>TEXT(O98,"mmmm")</f>
        <v>June</v>
      </c>
      <c r="R98" s="18">
        <f>YEAR(O98)</f>
        <v>2024</v>
      </c>
      <c r="S98" s="18" t="s">
        <v>28</v>
      </c>
      <c r="T98" s="89" t="s">
        <v>130</v>
      </c>
      <c r="U98" s="89" t="s">
        <v>30</v>
      </c>
      <c r="V98" s="91" t="s">
        <v>82</v>
      </c>
      <c r="W98" s="92">
        <v>45456</v>
      </c>
      <c r="X98" s="87">
        <f>ROUND(M98/L98,2)</f>
        <v>1</v>
      </c>
      <c r="Y98" t="str">
        <f>IF(L98&lt;=29,"Hares",IF(L98&lt;=99,"Tigers",IF(L98&lt;=499,"Elephants","Whales")))</f>
        <v>Hares</v>
      </c>
      <c r="Z98" s="16"/>
      <c r="AA98" s="16"/>
      <c r="AB98"/>
      <c r="AC98"/>
    </row>
    <row r="99" spans="1:29" s="53" customFormat="1" ht="16.5">
      <c r="A99" s="62" t="s">
        <v>150</v>
      </c>
      <c r="B99" s="62" t="s">
        <v>26</v>
      </c>
      <c r="C99" s="58" t="s">
        <v>27</v>
      </c>
      <c r="D99" s="58" t="s">
        <v>27</v>
      </c>
      <c r="E99" s="78">
        <v>1381142</v>
      </c>
      <c r="F99" s="59">
        <f>E99*5%</f>
        <v>69057.100000000006</v>
      </c>
      <c r="G99" s="78">
        <v>30000</v>
      </c>
      <c r="H99" s="59">
        <f>SUM(E99:G99)</f>
        <v>1480199.1</v>
      </c>
      <c r="I99" s="78" t="s">
        <v>151</v>
      </c>
      <c r="J99" s="59">
        <f>SUM(H99:I99)</f>
        <v>1480199.1</v>
      </c>
      <c r="K99" s="59">
        <f>J99/L99</f>
        <v>1480199.1</v>
      </c>
      <c r="L99" s="81">
        <v>1</v>
      </c>
      <c r="M99" s="82">
        <v>2</v>
      </c>
      <c r="N99" s="81">
        <v>3</v>
      </c>
      <c r="O99" s="79">
        <v>45468</v>
      </c>
      <c r="P99" s="80">
        <v>45832</v>
      </c>
      <c r="Q99" s="18" t="str">
        <f>TEXT(O99,"mmmm")</f>
        <v>June</v>
      </c>
      <c r="R99" s="18">
        <f>YEAR(O99)</f>
        <v>2024</v>
      </c>
      <c r="S99" s="62" t="s">
        <v>28</v>
      </c>
      <c r="T99" s="90" t="s">
        <v>28</v>
      </c>
      <c r="U99" s="90"/>
      <c r="V99" s="90"/>
      <c r="W99" s="92">
        <v>45467</v>
      </c>
      <c r="X99" s="87">
        <f>ROUND(M99/L99,2)</f>
        <v>2</v>
      </c>
      <c r="Y99" t="str">
        <f>IF(L99&lt;=29,"Hares",IF(L99&lt;=99,"Tigers",IF(L99&lt;=499,"Elephants","Whales")))</f>
        <v>Hares</v>
      </c>
      <c r="Z99"/>
      <c r="AA99"/>
      <c r="AB99"/>
      <c r="AC99"/>
    </row>
    <row r="100" spans="1:29" s="53" customFormat="1" ht="16.5">
      <c r="A100" s="62" t="s">
        <v>152</v>
      </c>
      <c r="B100" s="62" t="s">
        <v>26</v>
      </c>
      <c r="C100" s="58" t="s">
        <v>27</v>
      </c>
      <c r="D100" s="58" t="s">
        <v>27</v>
      </c>
      <c r="E100" s="78">
        <v>464822</v>
      </c>
      <c r="F100" s="59">
        <f>E100*5%</f>
        <v>23241.100000000002</v>
      </c>
      <c r="G100" s="78">
        <v>10000</v>
      </c>
      <c r="H100" s="59">
        <f>SUM(E100:G100)</f>
        <v>498063.1</v>
      </c>
      <c r="I100" s="78"/>
      <c r="J100" s="59">
        <f>SUM(H100:I100)</f>
        <v>498063.1</v>
      </c>
      <c r="K100" s="59">
        <f>J100/L100</f>
        <v>498063.1</v>
      </c>
      <c r="L100" s="81">
        <v>1</v>
      </c>
      <c r="M100" s="82" t="s">
        <v>151</v>
      </c>
      <c r="N100" s="81">
        <v>1</v>
      </c>
      <c r="O100" s="79">
        <v>45468</v>
      </c>
      <c r="P100" s="80">
        <v>45832</v>
      </c>
      <c r="Q100" s="18" t="str">
        <f>TEXT(O100,"mmmm")</f>
        <v>June</v>
      </c>
      <c r="R100" s="18">
        <f>YEAR(O100)</f>
        <v>2024</v>
      </c>
      <c r="S100" s="62" t="s">
        <v>28</v>
      </c>
      <c r="T100" s="90" t="s">
        <v>153</v>
      </c>
      <c r="U100" s="89" t="s">
        <v>30</v>
      </c>
      <c r="V100" s="91" t="s">
        <v>107</v>
      </c>
      <c r="W100" s="92">
        <v>45455</v>
      </c>
      <c r="X100" s="87" t="e">
        <f>ROUND(M100/L100,2)</f>
        <v>#VALUE!</v>
      </c>
      <c r="Y100" t="str">
        <f>IF(L100&lt;=29,"Hares",IF(L100&lt;=99,"Tigers",IF(L100&lt;=499,"Elephants","Whales")))</f>
        <v>Hares</v>
      </c>
      <c r="Z100"/>
      <c r="AA100"/>
      <c r="AB100"/>
      <c r="AC100"/>
    </row>
    <row r="101" spans="1:29" s="53" customFormat="1" ht="16.5">
      <c r="A101" s="18" t="s">
        <v>69</v>
      </c>
      <c r="B101" s="62" t="s">
        <v>90</v>
      </c>
      <c r="C101" s="51" t="s">
        <v>70</v>
      </c>
      <c r="D101" s="51" t="s">
        <v>91</v>
      </c>
      <c r="E101" s="58"/>
      <c r="F101" s="58"/>
      <c r="G101" s="58"/>
      <c r="H101" s="58"/>
      <c r="I101" s="58"/>
      <c r="J101" s="69">
        <v>8934501</v>
      </c>
      <c r="K101" s="59">
        <f>J101/L101</f>
        <v>470236.89473684208</v>
      </c>
      <c r="L101" s="70">
        <v>19</v>
      </c>
      <c r="M101" s="65">
        <v>0</v>
      </c>
      <c r="N101" s="70">
        <v>19</v>
      </c>
      <c r="O101" s="71">
        <v>45474</v>
      </c>
      <c r="P101" s="72">
        <v>45838</v>
      </c>
      <c r="Q101" s="18" t="str">
        <f>TEXT(O101,"mmmm")</f>
        <v>July</v>
      </c>
      <c r="R101" s="18">
        <f>YEAR(O101)</f>
        <v>2024</v>
      </c>
      <c r="S101" s="18" t="s">
        <v>40</v>
      </c>
      <c r="T101" s="53" t="s">
        <v>103</v>
      </c>
      <c r="U101" s="53" t="s">
        <v>30</v>
      </c>
      <c r="W101" s="16"/>
      <c r="X101" s="87">
        <f>ROUND(M101/L101,2)</f>
        <v>0</v>
      </c>
      <c r="Y101" t="str">
        <f>IF(L101&lt;=29,"Hares",IF(L101&lt;=99,"Tigers",IF(L101&lt;=499,"Elephants","Whales")))</f>
        <v>Hares</v>
      </c>
    </row>
    <row r="102" spans="1:29" s="53" customFormat="1" ht="16.5">
      <c r="A102" s="18" t="s">
        <v>154</v>
      </c>
      <c r="B102" s="62" t="s">
        <v>26</v>
      </c>
      <c r="C102" s="58" t="s">
        <v>27</v>
      </c>
      <c r="D102" s="58" t="s">
        <v>27</v>
      </c>
      <c r="E102" s="59">
        <v>6179754</v>
      </c>
      <c r="F102" s="59">
        <f>E102*5%</f>
        <v>308987.7</v>
      </c>
      <c r="G102" s="59">
        <v>210000</v>
      </c>
      <c r="H102" s="59">
        <f>SUM(E102:G102)</f>
        <v>6698741.7000000002</v>
      </c>
      <c r="I102" s="59">
        <v>0</v>
      </c>
      <c r="J102" s="59">
        <f>SUM(H102:I102)</f>
        <v>6698741.7000000002</v>
      </c>
      <c r="K102" s="59">
        <f>J102/L102</f>
        <v>318987.7</v>
      </c>
      <c r="L102" s="18">
        <v>21</v>
      </c>
      <c r="M102" s="65">
        <v>0</v>
      </c>
      <c r="N102" s="18">
        <v>21</v>
      </c>
      <c r="O102" s="79">
        <v>45475</v>
      </c>
      <c r="P102" s="80">
        <v>45839</v>
      </c>
      <c r="Q102" s="18" t="str">
        <f>TEXT(O102,"mmmm")</f>
        <v>July</v>
      </c>
      <c r="R102" s="18">
        <f>YEAR(O102)</f>
        <v>2024</v>
      </c>
      <c r="S102" s="18" t="s">
        <v>28</v>
      </c>
      <c r="T102" s="53" t="s">
        <v>28</v>
      </c>
      <c r="W102" s="84">
        <v>45443</v>
      </c>
      <c r="X102" s="87">
        <f>ROUND(M102/L102,2)</f>
        <v>0</v>
      </c>
      <c r="Y102" t="str">
        <f>IF(L102&lt;=29,"Hares",IF(L102&lt;=99,"Tigers",IF(L102&lt;=499,"Elephants","Whales")))</f>
        <v>Hares</v>
      </c>
    </row>
    <row r="103" spans="1:29" s="53" customFormat="1" ht="16.5">
      <c r="A103" s="18" t="s">
        <v>155</v>
      </c>
      <c r="B103" s="62" t="s">
        <v>26</v>
      </c>
      <c r="C103" s="58" t="s">
        <v>27</v>
      </c>
      <c r="D103" s="58" t="s">
        <v>27</v>
      </c>
      <c r="E103" s="59">
        <v>1595848</v>
      </c>
      <c r="F103" s="59">
        <f>E103*5%</f>
        <v>79792.400000000009</v>
      </c>
      <c r="G103" s="59">
        <v>40000</v>
      </c>
      <c r="H103" s="59">
        <f>SUM(E103:G103)</f>
        <v>1715640.4</v>
      </c>
      <c r="I103" s="59">
        <v>0</v>
      </c>
      <c r="J103" s="59">
        <f>SUM(H103:I103)</f>
        <v>1715640.4</v>
      </c>
      <c r="K103" s="59">
        <f>J103/L103</f>
        <v>428910.1</v>
      </c>
      <c r="L103" s="18">
        <v>4</v>
      </c>
      <c r="M103" s="65">
        <v>3</v>
      </c>
      <c r="N103" s="18">
        <v>4</v>
      </c>
      <c r="O103" s="79">
        <v>45483</v>
      </c>
      <c r="P103" s="80">
        <v>45847</v>
      </c>
      <c r="Q103" s="18" t="str">
        <f>TEXT(O103,"mmmm")</f>
        <v>July</v>
      </c>
      <c r="R103" s="18">
        <f>YEAR(O103)</f>
        <v>2024</v>
      </c>
      <c r="S103" s="18" t="s">
        <v>28</v>
      </c>
      <c r="T103" s="89" t="s">
        <v>28</v>
      </c>
      <c r="U103" s="89"/>
      <c r="V103" s="89"/>
      <c r="W103" s="92">
        <v>45462</v>
      </c>
      <c r="X103" s="87">
        <f>ROUND(M103/L103,2)</f>
        <v>0.75</v>
      </c>
      <c r="Y103" t="str">
        <f>IF(L103&lt;=29,"Hares",IF(L103&lt;=99,"Tigers",IF(L103&lt;=499,"Elephants","Whales")))</f>
        <v>Hares</v>
      </c>
      <c r="Z103"/>
      <c r="AA103"/>
      <c r="AB103"/>
      <c r="AC103"/>
    </row>
    <row r="104" spans="1:29" s="53" customFormat="1" ht="16.5">
      <c r="A104" s="18" t="s">
        <v>156</v>
      </c>
      <c r="B104" s="62" t="s">
        <v>26</v>
      </c>
      <c r="C104" s="58" t="s">
        <v>27</v>
      </c>
      <c r="D104" s="58" t="s">
        <v>27</v>
      </c>
      <c r="E104" s="59">
        <v>56151579</v>
      </c>
      <c r="F104" s="59">
        <f>E104*5%</f>
        <v>2807578.95</v>
      </c>
      <c r="G104" s="59">
        <v>965000</v>
      </c>
      <c r="H104" s="59">
        <f>SUM(E104:G104)</f>
        <v>59924157.950000003</v>
      </c>
      <c r="I104" s="59">
        <v>0</v>
      </c>
      <c r="J104" s="59">
        <f>SUM(H104:I104)</f>
        <v>59924157.950000003</v>
      </c>
      <c r="K104" s="59">
        <f>J104/L104</f>
        <v>1033175.1370689656</v>
      </c>
      <c r="L104" s="18">
        <v>58</v>
      </c>
      <c r="M104" s="65">
        <v>135</v>
      </c>
      <c r="N104" s="18">
        <v>193</v>
      </c>
      <c r="O104" s="79">
        <v>45484</v>
      </c>
      <c r="P104" s="80">
        <v>45848</v>
      </c>
      <c r="Q104" s="18" t="str">
        <f>TEXT(O104,"mmmm")</f>
        <v>July</v>
      </c>
      <c r="R104" s="18">
        <f>YEAR(O104)</f>
        <v>2024</v>
      </c>
      <c r="S104" s="18" t="s">
        <v>34</v>
      </c>
      <c r="T104" s="53" t="s">
        <v>157</v>
      </c>
      <c r="W104" s="84">
        <v>45464</v>
      </c>
      <c r="X104" s="87">
        <f>ROUND(M104/L104,2)</f>
        <v>2.33</v>
      </c>
      <c r="Y104" t="str">
        <f>IF(L104&lt;=29,"Hares",IF(L104&lt;=99,"Tigers",IF(L104&lt;=499,"Elephants","Whales")))</f>
        <v>Tigers</v>
      </c>
    </row>
    <row r="105" spans="1:29" s="53" customFormat="1" ht="16.5">
      <c r="A105" s="18" t="s">
        <v>158</v>
      </c>
      <c r="B105" s="62" t="s">
        <v>26</v>
      </c>
      <c r="C105" s="58" t="s">
        <v>27</v>
      </c>
      <c r="D105" s="58" t="s">
        <v>27</v>
      </c>
      <c r="E105" s="59">
        <v>620086</v>
      </c>
      <c r="F105" s="59">
        <f>E105*5%</f>
        <v>31004.300000000003</v>
      </c>
      <c r="G105" s="59">
        <v>10000</v>
      </c>
      <c r="H105" s="59">
        <f>SUM(E105:G105)</f>
        <v>661090.30000000005</v>
      </c>
      <c r="I105" s="59">
        <v>0</v>
      </c>
      <c r="J105" s="59">
        <f>SUM(H105:I105)</f>
        <v>661090.30000000005</v>
      </c>
      <c r="K105" s="59">
        <f>J105/L105</f>
        <v>661090.30000000005</v>
      </c>
      <c r="L105" s="18">
        <v>1</v>
      </c>
      <c r="M105" s="65">
        <v>0</v>
      </c>
      <c r="N105" s="18">
        <v>1</v>
      </c>
      <c r="O105" s="79">
        <v>45485</v>
      </c>
      <c r="P105" s="80">
        <v>45849</v>
      </c>
      <c r="Q105" s="18" t="str">
        <f>TEXT(O105,"mmmm")</f>
        <v>July</v>
      </c>
      <c r="R105" s="18">
        <f>YEAR(O105)</f>
        <v>2024</v>
      </c>
      <c r="S105" s="18" t="s">
        <v>28</v>
      </c>
      <c r="T105" s="89" t="s">
        <v>85</v>
      </c>
      <c r="U105" s="89" t="s">
        <v>30</v>
      </c>
      <c r="V105" s="91" t="s">
        <v>86</v>
      </c>
      <c r="W105" s="92">
        <v>45485</v>
      </c>
      <c r="X105" s="87">
        <f>ROUND(M105/L105,2)</f>
        <v>0</v>
      </c>
      <c r="Y105" t="str">
        <f>IF(L105&lt;=29,"Hares",IF(L105&lt;=99,"Tigers",IF(L105&lt;=499,"Elephants","Whales")))</f>
        <v>Hares</v>
      </c>
      <c r="Z105"/>
      <c r="AA105"/>
      <c r="AB105"/>
      <c r="AC105"/>
    </row>
    <row r="106" spans="1:29" s="53" customFormat="1" ht="16.5">
      <c r="A106" s="18" t="s">
        <v>159</v>
      </c>
      <c r="B106" s="62" t="s">
        <v>26</v>
      </c>
      <c r="C106" s="58" t="s">
        <v>27</v>
      </c>
      <c r="D106" s="58" t="s">
        <v>27</v>
      </c>
      <c r="E106" s="59">
        <v>25154667</v>
      </c>
      <c r="F106" s="59">
        <f>E106*5%</f>
        <v>1257733.3500000001</v>
      </c>
      <c r="G106" s="59">
        <v>430000</v>
      </c>
      <c r="H106" s="59">
        <f>SUM(E106:G106)</f>
        <v>26842400.350000001</v>
      </c>
      <c r="I106" s="59">
        <v>0</v>
      </c>
      <c r="J106" s="59">
        <f>SUM(H106:I106)</f>
        <v>26842400.350000001</v>
      </c>
      <c r="K106" s="59">
        <f>J106/L106</f>
        <v>925600.01206896559</v>
      </c>
      <c r="L106" s="18">
        <v>29</v>
      </c>
      <c r="M106" s="65">
        <v>57</v>
      </c>
      <c r="N106" s="18">
        <f>SUM(L106:M106)</f>
        <v>86</v>
      </c>
      <c r="O106" s="79">
        <v>45488</v>
      </c>
      <c r="P106" s="80">
        <v>45852</v>
      </c>
      <c r="Q106" s="18" t="str">
        <f>TEXT(O106,"mmmm")</f>
        <v>July</v>
      </c>
      <c r="R106" s="18">
        <f>YEAR(O106)</f>
        <v>2024</v>
      </c>
      <c r="S106" s="18" t="s">
        <v>34</v>
      </c>
      <c r="T106" s="89" t="s">
        <v>157</v>
      </c>
      <c r="U106" s="89"/>
      <c r="V106" s="89"/>
      <c r="W106" s="92">
        <v>45469</v>
      </c>
      <c r="X106" s="87">
        <f>ROUND(M106/L106,2)</f>
        <v>1.97</v>
      </c>
      <c r="Y106" t="str">
        <f>IF(L106&lt;=29,"Hares",IF(L106&lt;=99,"Tigers",IF(L106&lt;=499,"Elephants","Whales")))</f>
        <v>Hares</v>
      </c>
      <c r="Z106"/>
      <c r="AA106"/>
      <c r="AB106"/>
      <c r="AC106"/>
    </row>
    <row r="107" spans="1:29" s="53" customFormat="1" ht="16.5">
      <c r="A107" s="18" t="s">
        <v>160</v>
      </c>
      <c r="B107" s="62" t="s">
        <v>26</v>
      </c>
      <c r="C107" s="58" t="s">
        <v>27</v>
      </c>
      <c r="D107" s="58" t="s">
        <v>27</v>
      </c>
      <c r="E107" s="59">
        <v>64200983</v>
      </c>
      <c r="F107" s="59">
        <f>E107*5%</f>
        <v>3210049.1500000004</v>
      </c>
      <c r="G107" s="59">
        <v>790000</v>
      </c>
      <c r="H107" s="59">
        <f>SUM(E107:G107)</f>
        <v>68201032.150000006</v>
      </c>
      <c r="I107" s="59">
        <v>0</v>
      </c>
      <c r="J107" s="59">
        <f>SUM(H107:I107)</f>
        <v>68201032.150000006</v>
      </c>
      <c r="K107" s="59">
        <f>J107/L107</f>
        <v>885727.69025974034</v>
      </c>
      <c r="L107" s="18">
        <v>77</v>
      </c>
      <c r="M107" s="65">
        <v>81</v>
      </c>
      <c r="N107" s="18">
        <f>SUM(L107:M107)</f>
        <v>158</v>
      </c>
      <c r="O107" s="79">
        <v>45489</v>
      </c>
      <c r="P107" s="80">
        <v>45853</v>
      </c>
      <c r="Q107" s="18" t="str">
        <f>TEXT(O107,"mmmm")</f>
        <v>July</v>
      </c>
      <c r="R107" s="18">
        <f>YEAR(O107)</f>
        <v>2024</v>
      </c>
      <c r="S107" s="18" t="s">
        <v>34</v>
      </c>
      <c r="T107" s="89" t="s">
        <v>78</v>
      </c>
      <c r="U107" s="89"/>
      <c r="V107" s="89"/>
      <c r="W107" s="92">
        <v>45475</v>
      </c>
      <c r="X107" s="87">
        <f>ROUND(M107/L107,2)</f>
        <v>1.05</v>
      </c>
      <c r="Y107" t="str">
        <f>IF(L107&lt;=29,"Hares",IF(L107&lt;=99,"Tigers",IF(L107&lt;=499,"Elephants","Whales")))</f>
        <v>Tigers</v>
      </c>
      <c r="Z107"/>
      <c r="AA107"/>
      <c r="AB107"/>
      <c r="AC107"/>
    </row>
    <row r="108" spans="1:29" s="53" customFormat="1" ht="16.5">
      <c r="A108" s="18" t="s">
        <v>161</v>
      </c>
      <c r="B108" s="62" t="s">
        <v>26</v>
      </c>
      <c r="C108" s="58" t="s">
        <v>27</v>
      </c>
      <c r="D108" s="58" t="s">
        <v>27</v>
      </c>
      <c r="E108" s="59">
        <v>2206440</v>
      </c>
      <c r="F108" s="59">
        <f>E108*5%</f>
        <v>110322</v>
      </c>
      <c r="G108" s="59">
        <v>40000</v>
      </c>
      <c r="H108" s="59">
        <f>SUM(E108:G108)</f>
        <v>2356762</v>
      </c>
      <c r="I108" s="59">
        <v>0</v>
      </c>
      <c r="J108" s="59">
        <f>SUM(H108:I108)</f>
        <v>2356762</v>
      </c>
      <c r="K108" s="59">
        <f>J108/L108</f>
        <v>2356762</v>
      </c>
      <c r="L108" s="18">
        <v>1</v>
      </c>
      <c r="M108" s="65">
        <v>3</v>
      </c>
      <c r="N108" s="18">
        <v>4</v>
      </c>
      <c r="O108" s="79">
        <v>45492</v>
      </c>
      <c r="P108" s="80">
        <v>45856</v>
      </c>
      <c r="Q108" s="18" t="str">
        <f>TEXT(O108,"mmmm")</f>
        <v>July</v>
      </c>
      <c r="R108" s="18">
        <f>YEAR(O108)</f>
        <v>2024</v>
      </c>
      <c r="S108" s="18" t="s">
        <v>28</v>
      </c>
      <c r="T108" s="89" t="s">
        <v>153</v>
      </c>
      <c r="U108" s="89" t="s">
        <v>30</v>
      </c>
      <c r="V108" s="91" t="s">
        <v>107</v>
      </c>
      <c r="W108" s="92">
        <v>45481</v>
      </c>
      <c r="X108" s="87">
        <f>ROUND(M108/L108,2)</f>
        <v>3</v>
      </c>
      <c r="Y108" t="str">
        <f>IF(L108&lt;=29,"Hares",IF(L108&lt;=99,"Tigers",IF(L108&lt;=499,"Elephants","Whales")))</f>
        <v>Hares</v>
      </c>
      <c r="Z108"/>
      <c r="AA108"/>
      <c r="AB108"/>
      <c r="AC108"/>
    </row>
    <row r="109" spans="1:29" s="53" customFormat="1" ht="16.5">
      <c r="A109" s="18" t="s">
        <v>162</v>
      </c>
      <c r="B109" s="62" t="s">
        <v>26</v>
      </c>
      <c r="C109" s="58" t="s">
        <v>27</v>
      </c>
      <c r="D109" s="58" t="s">
        <v>27</v>
      </c>
      <c r="E109" s="59">
        <v>1791035</v>
      </c>
      <c r="F109" s="59">
        <f>E109*5%</f>
        <v>89551.75</v>
      </c>
      <c r="G109" s="59">
        <v>30000</v>
      </c>
      <c r="H109" s="59">
        <f>SUM(E109:G109)</f>
        <v>1910586.75</v>
      </c>
      <c r="I109" s="59">
        <v>0</v>
      </c>
      <c r="J109" s="59">
        <f>SUM(H109:I109)</f>
        <v>1910586.75</v>
      </c>
      <c r="K109" s="59">
        <f>J109/L109</f>
        <v>1910586.75</v>
      </c>
      <c r="L109" s="18">
        <v>1</v>
      </c>
      <c r="M109" s="65">
        <v>2</v>
      </c>
      <c r="N109" s="18">
        <v>3</v>
      </c>
      <c r="O109" s="79">
        <v>45495</v>
      </c>
      <c r="P109" s="80">
        <v>45859</v>
      </c>
      <c r="Q109" s="18" t="str">
        <f>TEXT(O109,"mmmm")</f>
        <v>July</v>
      </c>
      <c r="R109" s="18">
        <f>YEAR(O109)</f>
        <v>2024</v>
      </c>
      <c r="S109" s="18" t="s">
        <v>28</v>
      </c>
      <c r="T109" s="89" t="s">
        <v>28</v>
      </c>
      <c r="U109" s="89"/>
      <c r="V109" s="89"/>
      <c r="W109" s="92">
        <v>45492</v>
      </c>
      <c r="X109" s="87">
        <f>ROUND(M109/L109,2)</f>
        <v>2</v>
      </c>
      <c r="Y109" t="str">
        <f>IF(L109&lt;=29,"Hares",IF(L109&lt;=99,"Tigers",IF(L109&lt;=499,"Elephants","Whales")))</f>
        <v>Hares</v>
      </c>
      <c r="Z109"/>
      <c r="AA109"/>
      <c r="AB109"/>
      <c r="AC109"/>
    </row>
    <row r="110" spans="1:29" s="53" customFormat="1" ht="16.5">
      <c r="A110" s="18" t="s">
        <v>163</v>
      </c>
      <c r="B110" s="62" t="s">
        <v>26</v>
      </c>
      <c r="C110" s="58" t="s">
        <v>27</v>
      </c>
      <c r="D110" s="58" t="s">
        <v>27</v>
      </c>
      <c r="E110" s="59">
        <v>908890</v>
      </c>
      <c r="F110" s="59">
        <f>E110*5%</f>
        <v>45444.5</v>
      </c>
      <c r="G110" s="59">
        <v>10000</v>
      </c>
      <c r="H110" s="59">
        <f>SUM(E110:G110)</f>
        <v>964334.5</v>
      </c>
      <c r="I110" s="59">
        <v>0</v>
      </c>
      <c r="J110" s="59">
        <f>SUM(H110:I110)</f>
        <v>964334.5</v>
      </c>
      <c r="K110" s="59">
        <f>J110/L110</f>
        <v>964334.5</v>
      </c>
      <c r="L110" s="18">
        <v>1</v>
      </c>
      <c r="M110" s="65">
        <v>0</v>
      </c>
      <c r="N110" s="18">
        <v>1</v>
      </c>
      <c r="O110" s="79">
        <v>45495</v>
      </c>
      <c r="P110" s="80">
        <v>45859</v>
      </c>
      <c r="Q110" s="18" t="str">
        <f>TEXT(O110,"mmmm")</f>
        <v>July</v>
      </c>
      <c r="R110" s="18">
        <f>YEAR(O110)</f>
        <v>2024</v>
      </c>
      <c r="S110" s="18" t="s">
        <v>28</v>
      </c>
      <c r="T110" s="53" t="s">
        <v>28</v>
      </c>
      <c r="W110" s="84">
        <v>45495</v>
      </c>
      <c r="X110" s="87">
        <f>ROUND(M110/L110,2)</f>
        <v>0</v>
      </c>
      <c r="Y110" t="str">
        <f>IF(L110&lt;=29,"Hares",IF(L110&lt;=99,"Tigers",IF(L110&lt;=499,"Elephants","Whales")))</f>
        <v>Hares</v>
      </c>
    </row>
    <row r="111" spans="1:29" s="53" customFormat="1" ht="16.5">
      <c r="A111" s="18" t="s">
        <v>47</v>
      </c>
      <c r="B111" s="62" t="s">
        <v>90</v>
      </c>
      <c r="C111" s="51" t="s">
        <v>27</v>
      </c>
      <c r="D111" s="51" t="s">
        <v>91</v>
      </c>
      <c r="E111" s="59">
        <v>22542225</v>
      </c>
      <c r="F111" s="59">
        <f>E111*5%</f>
        <v>1127111.25</v>
      </c>
      <c r="G111" s="59">
        <v>165000</v>
      </c>
      <c r="H111" s="59">
        <f>SUM(E111:G111)</f>
        <v>23834336.25</v>
      </c>
      <c r="I111" s="59">
        <v>0</v>
      </c>
      <c r="J111" s="59">
        <f>SUM(H111:I111)</f>
        <v>23834336.25</v>
      </c>
      <c r="K111" s="59">
        <f>J111/L111</f>
        <v>1191716.8125</v>
      </c>
      <c r="L111" s="18">
        <v>20</v>
      </c>
      <c r="M111" s="65">
        <v>13</v>
      </c>
      <c r="N111" s="18">
        <v>33</v>
      </c>
      <c r="O111" s="79">
        <v>45495</v>
      </c>
      <c r="P111" s="80">
        <v>45859</v>
      </c>
      <c r="Q111" s="18" t="str">
        <f>TEXT(O111,"mmmm")</f>
        <v>July</v>
      </c>
      <c r="R111" s="18">
        <f>YEAR(O111)</f>
        <v>2024</v>
      </c>
      <c r="S111" s="18" t="s">
        <v>40</v>
      </c>
      <c r="T111" s="53" t="s">
        <v>103</v>
      </c>
      <c r="U111" s="53" t="s">
        <v>30</v>
      </c>
      <c r="W111" s="84">
        <v>45444</v>
      </c>
      <c r="X111" s="87">
        <f>ROUND(M111/L111,2)</f>
        <v>0.65</v>
      </c>
      <c r="Y111" t="str">
        <f>IF(L111&lt;=29,"Hares",IF(L111&lt;=99,"Tigers",IF(L111&lt;=499,"Elephants","Whales")))</f>
        <v>Hares</v>
      </c>
    </row>
    <row r="112" spans="1:29" s="53" customFormat="1" ht="16.5">
      <c r="A112" s="18" t="s">
        <v>164</v>
      </c>
      <c r="B112" s="62" t="s">
        <v>26</v>
      </c>
      <c r="C112" s="58" t="s">
        <v>27</v>
      </c>
      <c r="D112" s="58" t="s">
        <v>27</v>
      </c>
      <c r="E112" s="59">
        <v>443102</v>
      </c>
      <c r="F112" s="59">
        <f>E112*5%</f>
        <v>22155.100000000002</v>
      </c>
      <c r="G112" s="59">
        <v>10000</v>
      </c>
      <c r="H112" s="59">
        <f>SUM(E112:G112)</f>
        <v>475257.1</v>
      </c>
      <c r="I112" s="59">
        <v>0</v>
      </c>
      <c r="J112" s="59">
        <f>SUM(H112:I112)</f>
        <v>475257.1</v>
      </c>
      <c r="K112" s="59">
        <f>J112/L112</f>
        <v>475257.1</v>
      </c>
      <c r="L112" s="18">
        <v>1</v>
      </c>
      <c r="M112" s="65">
        <v>0</v>
      </c>
      <c r="N112" s="18">
        <v>1</v>
      </c>
      <c r="O112" s="79">
        <v>45496</v>
      </c>
      <c r="P112" s="80">
        <v>45860</v>
      </c>
      <c r="Q112" s="18" t="str">
        <f>TEXT(O112,"mmmm")</f>
        <v>July</v>
      </c>
      <c r="R112" s="18">
        <f>YEAR(O112)</f>
        <v>2024</v>
      </c>
      <c r="S112" s="18" t="s">
        <v>28</v>
      </c>
      <c r="T112" s="89" t="s">
        <v>28</v>
      </c>
      <c r="U112" s="89"/>
      <c r="V112" s="89"/>
      <c r="W112" s="92">
        <v>45459</v>
      </c>
      <c r="X112" s="87">
        <f>ROUND(M112/L112,2)</f>
        <v>0</v>
      </c>
      <c r="Y112" t="str">
        <f>IF(L112&lt;=29,"Hares",IF(L112&lt;=99,"Tigers",IF(L112&lt;=499,"Elephants","Whales")))</f>
        <v>Hares</v>
      </c>
      <c r="Z112"/>
      <c r="AA112"/>
      <c r="AB112"/>
      <c r="AC112"/>
    </row>
    <row r="113" spans="1:29" s="53" customFormat="1" ht="16.5">
      <c r="A113" s="18" t="s">
        <v>165</v>
      </c>
      <c r="B113" s="62" t="s">
        <v>26</v>
      </c>
      <c r="C113" s="58" t="s">
        <v>27</v>
      </c>
      <c r="D113" s="58" t="s">
        <v>27</v>
      </c>
      <c r="E113" s="59">
        <v>1293912</v>
      </c>
      <c r="F113" s="59">
        <f>E113*5%</f>
        <v>64695.600000000006</v>
      </c>
      <c r="G113" s="59">
        <v>20000</v>
      </c>
      <c r="H113" s="59">
        <f>SUM(E113:G113)</f>
        <v>1378607.6</v>
      </c>
      <c r="I113" s="59">
        <v>0</v>
      </c>
      <c r="J113" s="59">
        <f>SUM(H113:I113)</f>
        <v>1378607.6</v>
      </c>
      <c r="K113" s="59">
        <f>J113/L113</f>
        <v>1378607.6</v>
      </c>
      <c r="L113" s="18">
        <v>1</v>
      </c>
      <c r="M113" s="65">
        <v>1</v>
      </c>
      <c r="N113" s="18">
        <v>2</v>
      </c>
      <c r="O113" s="79">
        <v>45497</v>
      </c>
      <c r="P113" s="80">
        <v>45861</v>
      </c>
      <c r="Q113" s="18" t="str">
        <f>TEXT(O113,"mmmm")</f>
        <v>July</v>
      </c>
      <c r="R113" s="18">
        <f>YEAR(O113)</f>
        <v>2024</v>
      </c>
      <c r="S113" s="18" t="s">
        <v>28</v>
      </c>
      <c r="T113" s="53" t="s">
        <v>28</v>
      </c>
      <c r="W113" s="84">
        <v>45495</v>
      </c>
      <c r="X113" s="87">
        <f>ROUND(M113/L113,2)</f>
        <v>1</v>
      </c>
      <c r="Y113" t="str">
        <f>IF(L113&lt;=29,"Hares",IF(L113&lt;=99,"Tigers",IF(L113&lt;=499,"Elephants","Whales")))</f>
        <v>Hares</v>
      </c>
    </row>
    <row r="114" spans="1:29" s="53" customFormat="1" ht="16.5">
      <c r="A114" s="18" t="s">
        <v>166</v>
      </c>
      <c r="B114" s="62" t="s">
        <v>26</v>
      </c>
      <c r="C114" s="58" t="s">
        <v>27</v>
      </c>
      <c r="D114" s="58" t="s">
        <v>27</v>
      </c>
      <c r="E114" s="59">
        <v>1424655</v>
      </c>
      <c r="F114" s="59">
        <f>E114*5%</f>
        <v>71232.75</v>
      </c>
      <c r="G114" s="59">
        <v>30000</v>
      </c>
      <c r="H114" s="59">
        <f>SUM(E114:G114)</f>
        <v>1525887.75</v>
      </c>
      <c r="I114" s="59">
        <v>0</v>
      </c>
      <c r="J114" s="59">
        <f>SUM(H114:I114)</f>
        <v>1525887.75</v>
      </c>
      <c r="K114" s="59">
        <f>J114/L114</f>
        <v>508629.25</v>
      </c>
      <c r="L114" s="18">
        <v>3</v>
      </c>
      <c r="M114" s="65">
        <v>1</v>
      </c>
      <c r="N114" s="18">
        <v>2</v>
      </c>
      <c r="O114" s="79">
        <v>45502</v>
      </c>
      <c r="P114" s="80">
        <v>45866</v>
      </c>
      <c r="Q114" s="18" t="str">
        <f>TEXT(O114,"mmmm")</f>
        <v>July</v>
      </c>
      <c r="R114" s="18">
        <f>YEAR(O114)</f>
        <v>2024</v>
      </c>
      <c r="S114" s="18" t="s">
        <v>34</v>
      </c>
      <c r="T114" s="89" t="s">
        <v>167</v>
      </c>
      <c r="U114" s="89"/>
      <c r="V114" s="89"/>
      <c r="W114" s="92">
        <v>45464</v>
      </c>
      <c r="X114" s="87">
        <f>ROUND(M114/L114,2)</f>
        <v>0.33</v>
      </c>
      <c r="Y114" t="str">
        <f>IF(L114&lt;=29,"Hares",IF(L114&lt;=99,"Tigers",IF(L114&lt;=499,"Elephants","Whales")))</f>
        <v>Hares</v>
      </c>
      <c r="Z114"/>
      <c r="AA114"/>
      <c r="AB114"/>
      <c r="AC114"/>
    </row>
    <row r="115" spans="1:29" s="53" customFormat="1" ht="16.5">
      <c r="A115" s="18" t="s">
        <v>169</v>
      </c>
      <c r="B115" s="62" t="s">
        <v>26</v>
      </c>
      <c r="C115" s="58" t="s">
        <v>27</v>
      </c>
      <c r="D115" s="58" t="s">
        <v>27</v>
      </c>
      <c r="E115" s="59">
        <v>449234</v>
      </c>
      <c r="F115" s="59">
        <f>E115*5%</f>
        <v>22461.7</v>
      </c>
      <c r="G115" s="59">
        <v>10000</v>
      </c>
      <c r="H115" s="59">
        <f>SUM(E115:G115)</f>
        <v>481695.7</v>
      </c>
      <c r="I115" s="59">
        <v>0</v>
      </c>
      <c r="J115" s="59">
        <f>SUM(H115:I115)</f>
        <v>481695.7</v>
      </c>
      <c r="K115" s="59">
        <f>J115/L115</f>
        <v>481695.7</v>
      </c>
      <c r="L115" s="18">
        <v>1</v>
      </c>
      <c r="M115" s="65">
        <v>1</v>
      </c>
      <c r="N115" s="18">
        <v>0</v>
      </c>
      <c r="O115" s="79">
        <v>45502</v>
      </c>
      <c r="P115" s="80">
        <v>45866</v>
      </c>
      <c r="Q115" s="18" t="str">
        <f>TEXT(O115,"mmmm")</f>
        <v>July</v>
      </c>
      <c r="R115" s="18">
        <f>YEAR(O115)</f>
        <v>2024</v>
      </c>
      <c r="S115" s="18" t="s">
        <v>34</v>
      </c>
      <c r="T115" s="89" t="s">
        <v>167</v>
      </c>
      <c r="U115" s="89"/>
      <c r="V115" s="89"/>
      <c r="W115" s="92">
        <v>45464</v>
      </c>
      <c r="X115" s="88">
        <f>ROUND(M115/L115,2)</f>
        <v>1</v>
      </c>
      <c r="Y115" t="str">
        <f>IF(L115&lt;=29,"Hares",IF(L115&lt;=99,"Tigers",IF(L115&lt;=499,"Elephants","Whales")))</f>
        <v>Hares</v>
      </c>
      <c r="Z115"/>
      <c r="AA115"/>
      <c r="AB115"/>
      <c r="AC115"/>
    </row>
    <row r="116" spans="1:29" s="53" customFormat="1" ht="16.5">
      <c r="A116" s="18" t="s">
        <v>168</v>
      </c>
      <c r="B116" s="62" t="s">
        <v>26</v>
      </c>
      <c r="C116" s="58" t="s">
        <v>27</v>
      </c>
      <c r="D116" s="58" t="s">
        <v>27</v>
      </c>
      <c r="E116" s="59">
        <v>2879583</v>
      </c>
      <c r="F116" s="59">
        <f>E116*5%</f>
        <v>143979.15</v>
      </c>
      <c r="G116" s="59">
        <v>70000</v>
      </c>
      <c r="H116" s="59">
        <f>SUM(E116:G116)</f>
        <v>3093562.15</v>
      </c>
      <c r="I116" s="59">
        <v>0</v>
      </c>
      <c r="J116" s="59">
        <f>SUM(H116:I116)</f>
        <v>3093562.15</v>
      </c>
      <c r="K116" s="59">
        <f>J116/L116</f>
        <v>441937.45</v>
      </c>
      <c r="L116" s="18">
        <v>7</v>
      </c>
      <c r="M116" s="65">
        <v>1</v>
      </c>
      <c r="N116" s="18">
        <v>6</v>
      </c>
      <c r="O116" s="79">
        <v>45502</v>
      </c>
      <c r="P116" s="80">
        <v>45866</v>
      </c>
      <c r="Q116" s="18" t="str">
        <f>TEXT(O116,"mmmm")</f>
        <v>July</v>
      </c>
      <c r="R116" s="18">
        <f>YEAR(O116)</f>
        <v>2024</v>
      </c>
      <c r="S116" s="18" t="s">
        <v>34</v>
      </c>
      <c r="T116" s="53" t="s">
        <v>167</v>
      </c>
      <c r="W116" s="84">
        <v>45464</v>
      </c>
      <c r="X116" s="87">
        <f>ROUND(M116/L116,2)</f>
        <v>0.14000000000000001</v>
      </c>
      <c r="Y116" t="str">
        <f>IF(L116&lt;=29,"Hares",IF(L116&lt;=99,"Tigers",IF(L116&lt;=499,"Elephants","Whales")))</f>
        <v>Hares</v>
      </c>
    </row>
    <row r="117" spans="1:29" s="53" customFormat="1" ht="16.5">
      <c r="A117" s="18" t="s">
        <v>170</v>
      </c>
      <c r="B117" s="62" t="s">
        <v>26</v>
      </c>
      <c r="C117" s="58" t="s">
        <v>27</v>
      </c>
      <c r="D117" s="58" t="s">
        <v>27</v>
      </c>
      <c r="E117" s="59">
        <v>81852963</v>
      </c>
      <c r="F117" s="59">
        <f>E117*5%</f>
        <v>4092648.1500000004</v>
      </c>
      <c r="G117" s="59">
        <v>2210000</v>
      </c>
      <c r="H117" s="59">
        <f>SUM(E117:G117)</f>
        <v>88155611.150000006</v>
      </c>
      <c r="I117" s="59"/>
      <c r="J117" s="59">
        <f>SUM(H117:I117)</f>
        <v>88155611.150000006</v>
      </c>
      <c r="K117" s="59">
        <f>J117/L117</f>
        <v>199447.08404977378</v>
      </c>
      <c r="L117" s="18">
        <v>442</v>
      </c>
      <c r="M117" s="65">
        <v>0</v>
      </c>
      <c r="N117" s="18">
        <v>442</v>
      </c>
      <c r="O117" s="79">
        <v>45510</v>
      </c>
      <c r="P117" s="80">
        <v>45874</v>
      </c>
      <c r="Q117" s="18" t="str">
        <f>TEXT(O117,"mmmm")</f>
        <v>August</v>
      </c>
      <c r="R117" s="18">
        <f>YEAR(O117)</f>
        <v>2024</v>
      </c>
      <c r="S117" s="18" t="s">
        <v>28</v>
      </c>
      <c r="T117" s="89" t="s">
        <v>85</v>
      </c>
      <c r="U117" s="89" t="s">
        <v>30</v>
      </c>
      <c r="V117" s="91" t="s">
        <v>86</v>
      </c>
      <c r="W117" s="92">
        <v>45476</v>
      </c>
      <c r="X117" s="87">
        <f>ROUND(M117/L117,2)</f>
        <v>0</v>
      </c>
      <c r="Y117" t="str">
        <f>IF(L117&lt;=29,"Hares",IF(L117&lt;=99,"Tigers",IF(L117&lt;=499,"Elephants","Whales")))</f>
        <v>Elephants</v>
      </c>
      <c r="Z117"/>
      <c r="AA117"/>
      <c r="AB117"/>
      <c r="AC117"/>
    </row>
    <row r="118" spans="1:29" s="53" customFormat="1" ht="16.5">
      <c r="A118" s="18" t="s">
        <v>171</v>
      </c>
      <c r="B118" s="62" t="s">
        <v>26</v>
      </c>
      <c r="C118" s="58" t="s">
        <v>27</v>
      </c>
      <c r="D118" s="58" t="s">
        <v>27</v>
      </c>
      <c r="E118" s="59">
        <v>7878987</v>
      </c>
      <c r="F118" s="59">
        <f>E118*5%</f>
        <v>393949.35000000003</v>
      </c>
      <c r="G118" s="59">
        <v>150000</v>
      </c>
      <c r="H118" s="59">
        <f>SUM(E118:G118)</f>
        <v>8422936.3499999996</v>
      </c>
      <c r="I118" s="59"/>
      <c r="J118" s="59">
        <f>SUM(H118:I118)</f>
        <v>8422936.3499999996</v>
      </c>
      <c r="K118" s="59">
        <f>J118/L118</f>
        <v>935881.81666666665</v>
      </c>
      <c r="L118" s="18">
        <v>9</v>
      </c>
      <c r="M118" s="65">
        <v>6</v>
      </c>
      <c r="N118" s="18">
        <v>15</v>
      </c>
      <c r="O118" s="79">
        <v>45512</v>
      </c>
      <c r="P118" s="80">
        <v>45876</v>
      </c>
      <c r="Q118" s="18" t="str">
        <f>TEXT(O118,"mmmm")</f>
        <v>August</v>
      </c>
      <c r="R118" s="18">
        <f>YEAR(O118)</f>
        <v>2024</v>
      </c>
      <c r="S118" s="18" t="s">
        <v>28</v>
      </c>
      <c r="T118" s="89" t="s">
        <v>85</v>
      </c>
      <c r="U118" s="89" t="s">
        <v>30</v>
      </c>
      <c r="V118" s="91" t="s">
        <v>86</v>
      </c>
      <c r="W118" s="92">
        <v>45464</v>
      </c>
      <c r="X118" s="87">
        <f>ROUND(M118/L118,2)</f>
        <v>0.67</v>
      </c>
      <c r="Y118" t="str">
        <f>IF(L118&lt;=29,"Hares",IF(L118&lt;=99,"Tigers",IF(L118&lt;=499,"Elephants","Whales")))</f>
        <v>Hares</v>
      </c>
      <c r="Z118"/>
      <c r="AA118"/>
      <c r="AB118"/>
      <c r="AC118"/>
    </row>
    <row r="119" spans="1:29" s="53" customFormat="1" ht="16.5">
      <c r="A119" s="18" t="s">
        <v>172</v>
      </c>
      <c r="B119" s="62" t="s">
        <v>26</v>
      </c>
      <c r="C119" s="58" t="s">
        <v>27</v>
      </c>
      <c r="D119" s="58" t="s">
        <v>27</v>
      </c>
      <c r="E119" s="59">
        <v>2387323</v>
      </c>
      <c r="F119" s="59">
        <f>E119*5%</f>
        <v>119366.15000000001</v>
      </c>
      <c r="G119" s="59">
        <v>20000</v>
      </c>
      <c r="H119" s="59">
        <f>SUM(E119:G119)</f>
        <v>2526689.15</v>
      </c>
      <c r="I119" s="59"/>
      <c r="J119" s="59">
        <f>SUM(H119:I119)</f>
        <v>2526689.15</v>
      </c>
      <c r="K119" s="59">
        <f>J119/L119</f>
        <v>2526689.15</v>
      </c>
      <c r="L119" s="18">
        <v>1</v>
      </c>
      <c r="M119" s="65">
        <v>1</v>
      </c>
      <c r="N119" s="18">
        <v>2</v>
      </c>
      <c r="O119" s="79">
        <v>45516</v>
      </c>
      <c r="P119" s="80">
        <v>45880</v>
      </c>
      <c r="Q119" s="18" t="str">
        <f>TEXT(O119,"mmmm")</f>
        <v>August</v>
      </c>
      <c r="R119" s="18">
        <f>YEAR(O119)</f>
        <v>2024</v>
      </c>
      <c r="S119" s="18" t="s">
        <v>28</v>
      </c>
      <c r="T119" s="89" t="s">
        <v>28</v>
      </c>
      <c r="U119" s="89"/>
      <c r="V119" s="89"/>
      <c r="W119" s="92">
        <v>45510</v>
      </c>
      <c r="X119" s="88">
        <f>ROUND(M119/L119,2)</f>
        <v>1</v>
      </c>
      <c r="Y119" t="str">
        <f>IF(L119&lt;=29,"Hares",IF(L119&lt;=99,"Tigers",IF(L119&lt;=499,"Elephants","Whales")))</f>
        <v>Hares</v>
      </c>
      <c r="Z119"/>
      <c r="AA119"/>
      <c r="AB119"/>
      <c r="AC119"/>
    </row>
    <row r="120" spans="1:29" s="53" customFormat="1" ht="16.5">
      <c r="A120" s="18" t="s">
        <v>173</v>
      </c>
      <c r="B120" s="62" t="s">
        <v>26</v>
      </c>
      <c r="C120" s="58" t="s">
        <v>27</v>
      </c>
      <c r="D120" s="58" t="s">
        <v>27</v>
      </c>
      <c r="E120" s="59">
        <v>562108</v>
      </c>
      <c r="F120" s="59">
        <f>E120*5%</f>
        <v>28105.4</v>
      </c>
      <c r="G120" s="59">
        <v>10000</v>
      </c>
      <c r="H120" s="59">
        <f>SUM(E120:G120)</f>
        <v>600213.4</v>
      </c>
      <c r="I120" s="59"/>
      <c r="J120" s="59">
        <f>SUM(H120:I120)</f>
        <v>600213.4</v>
      </c>
      <c r="K120" s="59">
        <f>J120/L120</f>
        <v>600213.4</v>
      </c>
      <c r="L120" s="18">
        <v>1</v>
      </c>
      <c r="M120" s="65">
        <v>0</v>
      </c>
      <c r="N120" s="18">
        <v>1</v>
      </c>
      <c r="O120" s="79">
        <v>45516</v>
      </c>
      <c r="P120" s="80">
        <v>45880</v>
      </c>
      <c r="Q120" s="18" t="str">
        <f>TEXT(O120,"mmmm")</f>
        <v>August</v>
      </c>
      <c r="R120" s="18">
        <f>YEAR(O120)</f>
        <v>2024</v>
      </c>
      <c r="S120" s="18" t="s">
        <v>28</v>
      </c>
      <c r="T120" s="89" t="s">
        <v>28</v>
      </c>
      <c r="U120" s="89"/>
      <c r="V120" s="89"/>
      <c r="W120" s="92">
        <v>45512</v>
      </c>
      <c r="X120" s="87">
        <f>ROUND(M120/L120,2)</f>
        <v>0</v>
      </c>
      <c r="Y120" t="str">
        <f>IF(L120&lt;=29,"Hares",IF(L120&lt;=99,"Tigers",IF(L120&lt;=499,"Elephants","Whales")))</f>
        <v>Hares</v>
      </c>
      <c r="Z120"/>
      <c r="AA120"/>
      <c r="AB120"/>
      <c r="AC120"/>
    </row>
    <row r="121" spans="1:29" s="53" customFormat="1" ht="16.5">
      <c r="A121" s="18" t="s">
        <v>174</v>
      </c>
      <c r="B121" s="62" t="s">
        <v>90</v>
      </c>
      <c r="C121" s="58" t="s">
        <v>27</v>
      </c>
      <c r="D121" s="51" t="s">
        <v>91</v>
      </c>
      <c r="E121" s="59">
        <v>10810931</v>
      </c>
      <c r="F121" s="59">
        <f>E121*5%</f>
        <v>540546.55000000005</v>
      </c>
      <c r="G121" s="59">
        <v>330000</v>
      </c>
      <c r="H121" s="59">
        <f>SUM(E121:G121)</f>
        <v>11681477.550000001</v>
      </c>
      <c r="I121" s="59"/>
      <c r="J121" s="59">
        <f>SUM(H121:I121)</f>
        <v>11681477.550000001</v>
      </c>
      <c r="K121" s="59">
        <f>J121/L121</f>
        <v>834391.25357142859</v>
      </c>
      <c r="L121" s="18">
        <v>14</v>
      </c>
      <c r="M121" s="65">
        <v>19</v>
      </c>
      <c r="N121" s="18">
        <v>33</v>
      </c>
      <c r="O121" s="79">
        <v>45519</v>
      </c>
      <c r="P121" s="80">
        <v>45883</v>
      </c>
      <c r="Q121" s="18" t="str">
        <f>TEXT(O121,"mmmm")</f>
        <v>August</v>
      </c>
      <c r="R121" s="18">
        <f>YEAR(O121)</f>
        <v>2024</v>
      </c>
      <c r="S121" s="18" t="s">
        <v>34</v>
      </c>
      <c r="T121" s="89" t="s">
        <v>175</v>
      </c>
      <c r="U121" s="89"/>
      <c r="V121" s="89"/>
      <c r="W121" s="92">
        <v>45511</v>
      </c>
      <c r="X121" s="87">
        <f>ROUND(M121/L121,2)</f>
        <v>1.36</v>
      </c>
      <c r="Y121" t="str">
        <f>IF(L121&lt;=29,"Hares",IF(L121&lt;=99,"Tigers",IF(L121&lt;=499,"Elephants","Whales")))</f>
        <v>Hares</v>
      </c>
      <c r="Z121" s="16"/>
      <c r="AA121" s="16"/>
      <c r="AB121" s="16"/>
      <c r="AC121" s="16"/>
    </row>
    <row r="122" spans="1:29" s="53" customFormat="1" ht="16.5">
      <c r="A122" s="18" t="s">
        <v>177</v>
      </c>
      <c r="B122" s="62" t="s">
        <v>26</v>
      </c>
      <c r="C122" s="58" t="s">
        <v>27</v>
      </c>
      <c r="D122" s="58" t="s">
        <v>27</v>
      </c>
      <c r="E122" s="59">
        <v>4486701</v>
      </c>
      <c r="F122" s="59">
        <f>E122*5%</f>
        <v>224335.05000000002</v>
      </c>
      <c r="G122" s="59">
        <v>55000</v>
      </c>
      <c r="H122" s="59">
        <f>SUM(E122:G122)</f>
        <v>4766036.05</v>
      </c>
      <c r="I122" s="59"/>
      <c r="J122" s="59">
        <f>SUM(H122:I122)</f>
        <v>4766036.05</v>
      </c>
      <c r="K122" s="59">
        <f>J122/L122</f>
        <v>953207.21</v>
      </c>
      <c r="L122" s="18">
        <v>5</v>
      </c>
      <c r="M122" s="65">
        <v>6</v>
      </c>
      <c r="N122" s="59">
        <f>L122+M122</f>
        <v>11</v>
      </c>
      <c r="O122" s="79">
        <v>45521</v>
      </c>
      <c r="P122" s="80">
        <v>45885</v>
      </c>
      <c r="Q122" s="18" t="str">
        <f>TEXT(O122,"mmmm")</f>
        <v>August</v>
      </c>
      <c r="R122" s="18">
        <f>YEAR(O122)</f>
        <v>2024</v>
      </c>
      <c r="S122" s="18" t="s">
        <v>28</v>
      </c>
      <c r="T122" s="89" t="s">
        <v>178</v>
      </c>
      <c r="U122" s="89" t="s">
        <v>30</v>
      </c>
      <c r="V122" s="91" t="s">
        <v>86</v>
      </c>
      <c r="W122" s="92">
        <v>45475</v>
      </c>
      <c r="X122" s="87">
        <f>ROUND(M122/L122,2)</f>
        <v>1.2</v>
      </c>
      <c r="Y122" t="str">
        <f>IF(L122&lt;=29,"Hares",IF(L122&lt;=99,"Tigers",IF(L122&lt;=499,"Elephants","Whales")))</f>
        <v>Hares</v>
      </c>
      <c r="Z122"/>
      <c r="AA122"/>
      <c r="AB122"/>
      <c r="AC122"/>
    </row>
    <row r="123" spans="1:29" s="53" customFormat="1" ht="16.5">
      <c r="A123" s="18" t="s">
        <v>176</v>
      </c>
      <c r="B123" s="62" t="s">
        <v>26</v>
      </c>
      <c r="C123" s="58" t="s">
        <v>27</v>
      </c>
      <c r="D123" s="58" t="s">
        <v>27</v>
      </c>
      <c r="E123" s="59">
        <v>6468621</v>
      </c>
      <c r="F123" s="59">
        <f>E123*5%</f>
        <v>323431.05000000005</v>
      </c>
      <c r="G123" s="59">
        <v>190000</v>
      </c>
      <c r="H123" s="59">
        <f>SUM(E123:G123)</f>
        <v>6982052.0499999998</v>
      </c>
      <c r="I123" s="59"/>
      <c r="J123" s="59">
        <f>SUM(H123:I123)</f>
        <v>6982052.0499999998</v>
      </c>
      <c r="K123" s="59">
        <f>J123/L123</f>
        <v>872756.50624999998</v>
      </c>
      <c r="L123" s="18">
        <v>8</v>
      </c>
      <c r="M123" s="65">
        <v>11</v>
      </c>
      <c r="N123" s="18">
        <v>19</v>
      </c>
      <c r="O123" s="79">
        <v>45521</v>
      </c>
      <c r="P123" s="80">
        <v>45885</v>
      </c>
      <c r="Q123" s="18" t="str">
        <f>TEXT(O123,"mmmm")</f>
        <v>August</v>
      </c>
      <c r="R123" s="18">
        <f>YEAR(O123)</f>
        <v>2024</v>
      </c>
      <c r="S123" s="18" t="s">
        <v>28</v>
      </c>
      <c r="T123" s="89" t="s">
        <v>130</v>
      </c>
      <c r="U123" s="89" t="s">
        <v>30</v>
      </c>
      <c r="V123" s="91" t="s">
        <v>82</v>
      </c>
      <c r="W123" s="92">
        <v>45411</v>
      </c>
      <c r="X123" s="87">
        <f>ROUND(M123/L123,2)</f>
        <v>1.38</v>
      </c>
      <c r="Y123" t="str">
        <f>IF(L123&lt;=29,"Hares",IF(L123&lt;=99,"Tigers",IF(L123&lt;=499,"Elephants","Whales")))</f>
        <v>Hares</v>
      </c>
      <c r="Z123"/>
      <c r="AA123"/>
      <c r="AB123"/>
      <c r="AC123"/>
    </row>
    <row r="124" spans="1:29" s="53" customFormat="1" ht="16.5">
      <c r="A124" s="18" t="s">
        <v>180</v>
      </c>
      <c r="B124" s="62" t="s">
        <v>26</v>
      </c>
      <c r="C124" s="58" t="s">
        <v>70</v>
      </c>
      <c r="D124" s="58" t="s">
        <v>70</v>
      </c>
      <c r="E124" s="58"/>
      <c r="F124" s="58"/>
      <c r="G124" s="58"/>
      <c r="H124" s="58"/>
      <c r="I124" s="58"/>
      <c r="J124" s="69">
        <v>45546376</v>
      </c>
      <c r="K124" s="59">
        <f>J124/L124</f>
        <v>42887.359698681736</v>
      </c>
      <c r="L124" s="70">
        <v>1062</v>
      </c>
      <c r="M124" s="65">
        <v>0</v>
      </c>
      <c r="N124" s="70">
        <v>1062</v>
      </c>
      <c r="O124" s="71">
        <v>45536</v>
      </c>
      <c r="P124" s="72">
        <v>45657</v>
      </c>
      <c r="Q124" s="18" t="str">
        <f>TEXT(O124,"mmmm")</f>
        <v>September</v>
      </c>
      <c r="R124" s="18">
        <f>YEAR(O124)</f>
        <v>2024</v>
      </c>
      <c r="S124" s="18" t="s">
        <v>28</v>
      </c>
      <c r="T124" s="89" t="s">
        <v>85</v>
      </c>
      <c r="U124" s="89" t="s">
        <v>30</v>
      </c>
      <c r="V124" s="91" t="s">
        <v>86</v>
      </c>
      <c r="W124" s="94"/>
      <c r="X124" s="87">
        <f>ROUND(M124/L124,2)</f>
        <v>0</v>
      </c>
      <c r="Y124" t="str">
        <f>IF(L124&lt;=29,"Hares",IF(L124&lt;=99,"Tigers",IF(L124&lt;=499,"Elephants","Whales")))</f>
        <v>Whales</v>
      </c>
      <c r="Z124"/>
      <c r="AA124"/>
      <c r="AB124"/>
      <c r="AC124"/>
    </row>
    <row r="125" spans="1:29" s="53" customFormat="1" ht="16.5">
      <c r="A125" s="18" t="s">
        <v>83</v>
      </c>
      <c r="B125" s="62" t="s">
        <v>26</v>
      </c>
      <c r="C125" s="58" t="s">
        <v>70</v>
      </c>
      <c r="D125" s="58" t="s">
        <v>70</v>
      </c>
      <c r="E125" s="58"/>
      <c r="F125" s="58"/>
      <c r="G125" s="58"/>
      <c r="H125" s="58"/>
      <c r="I125" s="58"/>
      <c r="J125" s="69">
        <v>1185065</v>
      </c>
      <c r="K125" s="59">
        <f>J125/L125</f>
        <v>237013</v>
      </c>
      <c r="L125" s="70">
        <v>5</v>
      </c>
      <c r="M125" s="65">
        <v>0</v>
      </c>
      <c r="N125" s="70">
        <v>5</v>
      </c>
      <c r="O125" s="71">
        <v>45536</v>
      </c>
      <c r="P125" s="72">
        <v>45716</v>
      </c>
      <c r="Q125" s="18" t="str">
        <f>TEXT(O125,"mmmm")</f>
        <v>September</v>
      </c>
      <c r="R125" s="18">
        <f>YEAR(O125)</f>
        <v>2024</v>
      </c>
      <c r="S125" s="18" t="s">
        <v>28</v>
      </c>
      <c r="T125" s="89" t="s">
        <v>29</v>
      </c>
      <c r="U125" s="89" t="s">
        <v>30</v>
      </c>
      <c r="V125" s="91" t="s">
        <v>31</v>
      </c>
      <c r="W125" s="94"/>
      <c r="X125" s="87">
        <f>ROUND(M125/L125,2)</f>
        <v>0</v>
      </c>
      <c r="Y125" t="str">
        <f>IF(L125&lt;=29,"Hares",IF(L125&lt;=99,"Tigers",IF(L125&lt;=499,"Elephants","Whales")))</f>
        <v>Hares</v>
      </c>
      <c r="Z125"/>
      <c r="AA125"/>
      <c r="AB125"/>
      <c r="AC125"/>
    </row>
    <row r="126" spans="1:29" s="53" customFormat="1" ht="16.5">
      <c r="A126" s="18" t="s">
        <v>179</v>
      </c>
      <c r="B126" s="62" t="s">
        <v>26</v>
      </c>
      <c r="C126" s="58" t="s">
        <v>27</v>
      </c>
      <c r="D126" s="51" t="s">
        <v>27</v>
      </c>
      <c r="E126" s="59">
        <v>5141252</v>
      </c>
      <c r="F126" s="59">
        <f>E126*5%</f>
        <v>257062.6</v>
      </c>
      <c r="G126" s="59">
        <v>90000</v>
      </c>
      <c r="H126" s="59">
        <f>SUM(E126:G126)</f>
        <v>5488314.5999999996</v>
      </c>
      <c r="I126" s="59">
        <v>0</v>
      </c>
      <c r="J126" s="59">
        <f>SUM(H126:I126)</f>
        <v>5488314.5999999996</v>
      </c>
      <c r="K126" s="59">
        <f>J126/L126</f>
        <v>1829438.2</v>
      </c>
      <c r="L126" s="18">
        <v>3</v>
      </c>
      <c r="M126" s="65">
        <v>6</v>
      </c>
      <c r="N126" s="18">
        <v>9</v>
      </c>
      <c r="O126" s="79">
        <v>45536</v>
      </c>
      <c r="P126" s="80">
        <v>45900</v>
      </c>
      <c r="Q126" s="18" t="str">
        <f>TEXT(O126,"mmmm")</f>
        <v>September</v>
      </c>
      <c r="R126" s="18">
        <f>YEAR(O126)</f>
        <v>2024</v>
      </c>
      <c r="S126" s="18" t="s">
        <v>28</v>
      </c>
      <c r="T126" s="89" t="s">
        <v>85</v>
      </c>
      <c r="U126" s="89" t="s">
        <v>30</v>
      </c>
      <c r="V126" s="89" t="s">
        <v>86</v>
      </c>
      <c r="W126" s="92">
        <v>45314</v>
      </c>
      <c r="X126" s="87">
        <f>ROUND(M126/L126,2)</f>
        <v>2</v>
      </c>
      <c r="Y126" t="str">
        <f>IF(L126&lt;=29,"Hares",IF(L126&lt;=99,"Tigers",IF(L126&lt;=499,"Elephants","Whales")))</f>
        <v>Hares</v>
      </c>
      <c r="Z126" s="16"/>
      <c r="AA126" s="16"/>
      <c r="AB126" s="16"/>
      <c r="AC126" s="16"/>
    </row>
    <row r="127" spans="1:29" s="53" customFormat="1" ht="16.5">
      <c r="A127" s="18" t="s">
        <v>454</v>
      </c>
      <c r="B127" s="62" t="s">
        <v>455</v>
      </c>
      <c r="C127" s="58" t="s">
        <v>27</v>
      </c>
      <c r="D127" s="51" t="s">
        <v>27</v>
      </c>
      <c r="E127" s="59">
        <v>1698367</v>
      </c>
      <c r="F127" s="59">
        <v>84918</v>
      </c>
      <c r="G127" s="59">
        <v>30000</v>
      </c>
      <c r="H127" s="59">
        <v>1813285</v>
      </c>
      <c r="I127" s="59" t="s">
        <v>151</v>
      </c>
      <c r="J127" s="59">
        <v>1813285</v>
      </c>
      <c r="K127" s="59">
        <v>1813285</v>
      </c>
      <c r="L127" s="18">
        <v>1</v>
      </c>
      <c r="M127" s="65">
        <v>2</v>
      </c>
      <c r="N127" s="59">
        <v>3</v>
      </c>
      <c r="O127" s="79">
        <v>45545</v>
      </c>
      <c r="P127" s="80">
        <v>45909</v>
      </c>
      <c r="Q127" s="18" t="str">
        <f t="shared" ref="Q127:Q150" si="6">TEXT(O127,"mmmm")</f>
        <v>September</v>
      </c>
      <c r="R127" s="18">
        <f t="shared" ref="R127:R150" si="7">YEAR(O127)</f>
        <v>2024</v>
      </c>
      <c r="S127" s="18" t="s">
        <v>28</v>
      </c>
      <c r="T127" s="89" t="s">
        <v>28</v>
      </c>
      <c r="U127" s="89"/>
      <c r="V127" s="91"/>
      <c r="W127" s="92">
        <v>45531</v>
      </c>
      <c r="X127" s="87">
        <f t="shared" ref="X127:X150" si="8">ROUND(M127/L127,2)</f>
        <v>2</v>
      </c>
      <c r="Y127" t="str">
        <f t="shared" ref="Y127:Y150" si="9">IF(L127&lt;=29,"Hares",IF(L127&lt;=99,"Tigers",IF(L127&lt;=499,"Elephants","Whales")))</f>
        <v>Hares</v>
      </c>
      <c r="Z127"/>
      <c r="AA127"/>
      <c r="AB127"/>
      <c r="AC127"/>
    </row>
    <row r="128" spans="1:29" s="53" customFormat="1" ht="16.5">
      <c r="A128" s="18" t="s">
        <v>456</v>
      </c>
      <c r="B128" s="62" t="s">
        <v>455</v>
      </c>
      <c r="C128" s="58" t="s">
        <v>27</v>
      </c>
      <c r="D128" s="51" t="s">
        <v>27</v>
      </c>
      <c r="E128" s="59">
        <v>472283</v>
      </c>
      <c r="F128" s="59">
        <v>23614</v>
      </c>
      <c r="G128" s="59">
        <v>10000</v>
      </c>
      <c r="H128" s="59">
        <v>505897</v>
      </c>
      <c r="I128" s="59" t="s">
        <v>151</v>
      </c>
      <c r="J128" s="59">
        <v>505897</v>
      </c>
      <c r="K128" s="59">
        <v>505897</v>
      </c>
      <c r="L128" s="18">
        <v>1</v>
      </c>
      <c r="M128" s="65"/>
      <c r="N128" s="18">
        <v>1</v>
      </c>
      <c r="O128" s="79">
        <v>45545</v>
      </c>
      <c r="P128" s="80">
        <v>45909</v>
      </c>
      <c r="Q128" s="18" t="str">
        <f t="shared" si="6"/>
        <v>September</v>
      </c>
      <c r="R128" s="18">
        <f t="shared" si="7"/>
        <v>2024</v>
      </c>
      <c r="S128" s="18" t="s">
        <v>28</v>
      </c>
      <c r="T128" s="89" t="s">
        <v>28</v>
      </c>
      <c r="U128" s="89"/>
      <c r="V128" s="91"/>
      <c r="W128" s="92">
        <v>45339</v>
      </c>
      <c r="X128" s="87">
        <f t="shared" si="8"/>
        <v>0</v>
      </c>
      <c r="Y128" t="str">
        <f t="shared" si="9"/>
        <v>Hares</v>
      </c>
      <c r="Z128"/>
      <c r="AA128"/>
      <c r="AB128"/>
      <c r="AC128"/>
    </row>
    <row r="129" spans="1:29" ht="16.5">
      <c r="A129" s="18" t="s">
        <v>457</v>
      </c>
      <c r="B129" s="18" t="s">
        <v>455</v>
      </c>
      <c r="C129" s="58" t="s">
        <v>27</v>
      </c>
      <c r="D129" s="51" t="s">
        <v>27</v>
      </c>
      <c r="E129" s="60">
        <v>6266635</v>
      </c>
      <c r="F129" s="60">
        <v>313332</v>
      </c>
      <c r="G129" s="60">
        <v>75000</v>
      </c>
      <c r="H129" s="61">
        <v>6654967</v>
      </c>
      <c r="I129" s="60" t="s">
        <v>151</v>
      </c>
      <c r="J129" s="61">
        <v>6654967</v>
      </c>
      <c r="K129" s="61">
        <v>2218322</v>
      </c>
      <c r="L129" s="18">
        <v>3</v>
      </c>
      <c r="M129" s="65">
        <v>11</v>
      </c>
      <c r="N129" s="18">
        <v>14</v>
      </c>
      <c r="O129" s="66">
        <v>45558</v>
      </c>
      <c r="P129" s="67">
        <v>45922</v>
      </c>
      <c r="Q129" s="60" t="str">
        <f t="shared" si="6"/>
        <v>September</v>
      </c>
      <c r="R129" s="75">
        <f t="shared" si="7"/>
        <v>2024</v>
      </c>
      <c r="S129" s="18" t="s">
        <v>28</v>
      </c>
      <c r="T129" s="18" t="s">
        <v>28</v>
      </c>
      <c r="U129" s="18"/>
      <c r="V129" s="18"/>
      <c r="W129" s="18">
        <v>45525</v>
      </c>
      <c r="X129" s="77">
        <f t="shared" si="8"/>
        <v>3.67</v>
      </c>
      <c r="Y129" t="str">
        <f t="shared" si="9"/>
        <v>Hares</v>
      </c>
    </row>
    <row r="130" spans="1:29" ht="16.5">
      <c r="A130" s="18" t="s">
        <v>458</v>
      </c>
      <c r="B130" s="18" t="s">
        <v>455</v>
      </c>
      <c r="C130" s="58" t="s">
        <v>27</v>
      </c>
      <c r="D130" s="51" t="s">
        <v>27</v>
      </c>
      <c r="E130" s="60">
        <v>472283</v>
      </c>
      <c r="F130" s="60">
        <v>23614</v>
      </c>
      <c r="G130" s="60">
        <v>10000</v>
      </c>
      <c r="H130" s="61">
        <v>505897</v>
      </c>
      <c r="I130" s="60" t="s">
        <v>151</v>
      </c>
      <c r="J130" s="61">
        <v>505897</v>
      </c>
      <c r="K130" s="61">
        <v>505897</v>
      </c>
      <c r="L130" s="18">
        <v>1</v>
      </c>
      <c r="M130" s="65"/>
      <c r="N130" s="18">
        <v>1</v>
      </c>
      <c r="O130" s="66">
        <v>45558</v>
      </c>
      <c r="P130" s="67">
        <v>45922</v>
      </c>
      <c r="Q130" s="60" t="str">
        <f t="shared" si="6"/>
        <v>September</v>
      </c>
      <c r="R130" s="75">
        <f t="shared" si="7"/>
        <v>2024</v>
      </c>
      <c r="S130" s="18" t="s">
        <v>28</v>
      </c>
      <c r="T130" s="18" t="s">
        <v>28</v>
      </c>
      <c r="U130" s="18"/>
      <c r="V130" s="18"/>
      <c r="W130" s="18">
        <v>45541</v>
      </c>
      <c r="X130" s="77">
        <f t="shared" si="8"/>
        <v>0</v>
      </c>
      <c r="Y130" t="str">
        <f t="shared" si="9"/>
        <v>Hares</v>
      </c>
    </row>
    <row r="131" spans="1:29" ht="16.5">
      <c r="A131" s="18" t="s">
        <v>459</v>
      </c>
      <c r="B131" s="18" t="s">
        <v>455</v>
      </c>
      <c r="C131" s="58" t="s">
        <v>27</v>
      </c>
      <c r="D131" s="51" t="s">
        <v>27</v>
      </c>
      <c r="E131" s="60">
        <v>58799868</v>
      </c>
      <c r="F131" s="60">
        <v>2939993</v>
      </c>
      <c r="G131" s="60">
        <v>1109305</v>
      </c>
      <c r="H131" s="61">
        <v>62849166</v>
      </c>
      <c r="I131" s="60" t="s">
        <v>151</v>
      </c>
      <c r="J131" s="61">
        <v>62849166</v>
      </c>
      <c r="K131" s="61">
        <v>1848505</v>
      </c>
      <c r="L131" s="18">
        <v>34</v>
      </c>
      <c r="M131" s="65">
        <v>66</v>
      </c>
      <c r="N131" s="18">
        <v>100</v>
      </c>
      <c r="O131" s="66">
        <v>45559</v>
      </c>
      <c r="P131" s="67">
        <v>45923</v>
      </c>
      <c r="Q131" s="60" t="str">
        <f t="shared" si="6"/>
        <v>September</v>
      </c>
      <c r="R131" s="75">
        <f t="shared" si="7"/>
        <v>2024</v>
      </c>
      <c r="S131" s="18" t="s">
        <v>34</v>
      </c>
      <c r="T131" s="18" t="s">
        <v>460</v>
      </c>
      <c r="U131" s="18"/>
      <c r="V131" s="18"/>
      <c r="W131" s="18">
        <v>45394</v>
      </c>
      <c r="X131" s="77">
        <f t="shared" si="8"/>
        <v>1.94</v>
      </c>
      <c r="Y131" t="str">
        <f t="shared" si="9"/>
        <v>Tigers</v>
      </c>
    </row>
    <row r="132" spans="1:29" ht="16.5">
      <c r="A132" s="18" t="s">
        <v>461</v>
      </c>
      <c r="B132" s="18" t="s">
        <v>455</v>
      </c>
      <c r="C132" s="58" t="s">
        <v>27</v>
      </c>
      <c r="D132" s="51" t="s">
        <v>27</v>
      </c>
      <c r="E132" s="60">
        <v>1216688</v>
      </c>
      <c r="F132" s="60">
        <v>60834</v>
      </c>
      <c r="G132" s="60">
        <v>20000</v>
      </c>
      <c r="H132" s="61">
        <v>1297522</v>
      </c>
      <c r="I132" s="60" t="s">
        <v>151</v>
      </c>
      <c r="J132" s="61">
        <v>1297522</v>
      </c>
      <c r="K132" s="61">
        <v>1297522</v>
      </c>
      <c r="L132" s="18">
        <v>1</v>
      </c>
      <c r="M132" s="65">
        <v>1</v>
      </c>
      <c r="N132" s="18">
        <v>2</v>
      </c>
      <c r="O132" s="66">
        <v>45559</v>
      </c>
      <c r="P132" s="67">
        <v>45923</v>
      </c>
      <c r="Q132" s="60" t="str">
        <f t="shared" si="6"/>
        <v>September</v>
      </c>
      <c r="R132" s="75">
        <f t="shared" si="7"/>
        <v>2024</v>
      </c>
      <c r="S132" s="18" t="s">
        <v>28</v>
      </c>
      <c r="T132" s="18" t="s">
        <v>81</v>
      </c>
      <c r="U132" s="89" t="s">
        <v>30</v>
      </c>
      <c r="V132" s="91" t="s">
        <v>82</v>
      </c>
      <c r="W132" s="18">
        <v>45456</v>
      </c>
      <c r="X132" s="77">
        <f t="shared" si="8"/>
        <v>1</v>
      </c>
      <c r="Y132" t="str">
        <f t="shared" si="9"/>
        <v>Hares</v>
      </c>
    </row>
    <row r="133" spans="1:29" ht="16.5">
      <c r="A133" s="18" t="s">
        <v>462</v>
      </c>
      <c r="B133" s="18" t="s">
        <v>463</v>
      </c>
      <c r="C133" s="58" t="s">
        <v>27</v>
      </c>
      <c r="D133" s="51" t="s">
        <v>27</v>
      </c>
      <c r="E133" s="60">
        <v>2579577</v>
      </c>
      <c r="F133" s="60">
        <v>128979</v>
      </c>
      <c r="G133" s="60">
        <v>180000</v>
      </c>
      <c r="H133" s="61">
        <v>2888556</v>
      </c>
      <c r="I133" s="60" t="s">
        <v>151</v>
      </c>
      <c r="J133" s="61">
        <v>2888556</v>
      </c>
      <c r="K133" s="61">
        <v>320951</v>
      </c>
      <c r="L133" s="18">
        <v>9</v>
      </c>
      <c r="M133" s="65">
        <v>9</v>
      </c>
      <c r="N133" s="18">
        <v>18</v>
      </c>
      <c r="O133" s="66">
        <v>45560</v>
      </c>
      <c r="P133" s="67">
        <v>45924</v>
      </c>
      <c r="Q133" s="60" t="str">
        <f t="shared" si="6"/>
        <v>September</v>
      </c>
      <c r="R133" s="75">
        <f t="shared" si="7"/>
        <v>2024</v>
      </c>
      <c r="S133" s="18" t="s">
        <v>28</v>
      </c>
      <c r="T133" s="18" t="s">
        <v>29</v>
      </c>
      <c r="U133" s="89" t="s">
        <v>30</v>
      </c>
      <c r="V133" s="91" t="s">
        <v>31</v>
      </c>
      <c r="W133" s="18">
        <v>45536</v>
      </c>
      <c r="X133" s="77">
        <f t="shared" si="8"/>
        <v>1</v>
      </c>
      <c r="Y133" t="str">
        <f t="shared" si="9"/>
        <v>Hares</v>
      </c>
    </row>
    <row r="134" spans="1:29" ht="16.5">
      <c r="A134" s="18" t="s">
        <v>464</v>
      </c>
      <c r="B134" s="18" t="s">
        <v>455</v>
      </c>
      <c r="C134" s="58" t="s">
        <v>27</v>
      </c>
      <c r="D134" s="51" t="s">
        <v>27</v>
      </c>
      <c r="E134" s="60">
        <v>2661936</v>
      </c>
      <c r="F134" s="60">
        <v>133097</v>
      </c>
      <c r="G134" s="60">
        <v>60000</v>
      </c>
      <c r="H134" s="61">
        <v>2855033</v>
      </c>
      <c r="I134" s="60" t="s">
        <v>151</v>
      </c>
      <c r="J134" s="61">
        <v>2855033</v>
      </c>
      <c r="K134" s="61">
        <v>475839</v>
      </c>
      <c r="L134" s="18">
        <v>6</v>
      </c>
      <c r="M134" s="65"/>
      <c r="N134" s="18">
        <v>6</v>
      </c>
      <c r="O134" s="66">
        <v>45562</v>
      </c>
      <c r="P134" s="67">
        <v>45926</v>
      </c>
      <c r="Q134" s="60" t="str">
        <f t="shared" si="6"/>
        <v>September</v>
      </c>
      <c r="R134" s="75">
        <f t="shared" si="7"/>
        <v>2024</v>
      </c>
      <c r="S134" s="18" t="s">
        <v>34</v>
      </c>
      <c r="T134" s="18" t="s">
        <v>167</v>
      </c>
      <c r="U134" s="18"/>
      <c r="V134" s="18"/>
      <c r="W134" s="18">
        <v>45141</v>
      </c>
      <c r="X134" s="77">
        <f t="shared" si="8"/>
        <v>0</v>
      </c>
      <c r="Y134" t="str">
        <f t="shared" si="9"/>
        <v>Hares</v>
      </c>
      <c r="Z134" s="53"/>
      <c r="AA134" s="53"/>
      <c r="AB134" s="53"/>
      <c r="AC134" s="53"/>
    </row>
    <row r="135" spans="1:29" ht="21" customHeight="1">
      <c r="A135" s="18" t="s">
        <v>465</v>
      </c>
      <c r="B135" s="18" t="s">
        <v>455</v>
      </c>
      <c r="C135" s="58" t="s">
        <v>27</v>
      </c>
      <c r="D135" s="51" t="s">
        <v>27</v>
      </c>
      <c r="E135" s="59">
        <v>3218812</v>
      </c>
      <c r="F135" s="59">
        <v>160941</v>
      </c>
      <c r="G135" s="59">
        <v>130000</v>
      </c>
      <c r="H135" s="59">
        <v>3509753</v>
      </c>
      <c r="I135" s="59" t="s">
        <v>151</v>
      </c>
      <c r="J135" s="59">
        <v>3509753</v>
      </c>
      <c r="K135" s="59">
        <v>584959</v>
      </c>
      <c r="L135" s="18">
        <v>6</v>
      </c>
      <c r="M135" s="65">
        <v>7</v>
      </c>
      <c r="N135" s="18">
        <v>13</v>
      </c>
      <c r="O135" s="66">
        <v>45566</v>
      </c>
      <c r="P135" s="67">
        <v>45930</v>
      </c>
      <c r="Q135" s="18" t="str">
        <f t="shared" si="6"/>
        <v>October</v>
      </c>
      <c r="R135" s="18">
        <f t="shared" si="7"/>
        <v>2024</v>
      </c>
      <c r="S135" s="18" t="s">
        <v>28</v>
      </c>
      <c r="T135" s="18" t="s">
        <v>28</v>
      </c>
      <c r="U135" s="18"/>
      <c r="V135" s="51"/>
      <c r="W135" s="74">
        <v>45319</v>
      </c>
      <c r="X135" s="58">
        <f t="shared" si="8"/>
        <v>1.17</v>
      </c>
      <c r="Y135" t="str">
        <f t="shared" si="9"/>
        <v>Hares</v>
      </c>
    </row>
    <row r="136" spans="1:29" ht="16.5">
      <c r="A136" s="18" t="s">
        <v>466</v>
      </c>
      <c r="B136" s="18" t="s">
        <v>455</v>
      </c>
      <c r="C136" s="58" t="s">
        <v>27</v>
      </c>
      <c r="D136" s="51" t="s">
        <v>27</v>
      </c>
      <c r="E136" s="60">
        <v>654024</v>
      </c>
      <c r="F136" s="60">
        <v>32701</v>
      </c>
      <c r="G136" s="60">
        <v>10000</v>
      </c>
      <c r="H136" s="61">
        <v>696725</v>
      </c>
      <c r="I136" s="60" t="s">
        <v>151</v>
      </c>
      <c r="J136" s="61">
        <v>696725</v>
      </c>
      <c r="K136" s="61">
        <v>696725</v>
      </c>
      <c r="L136" s="18">
        <v>1</v>
      </c>
      <c r="M136" s="65"/>
      <c r="N136" s="18">
        <v>1</v>
      </c>
      <c r="O136" s="66">
        <v>45566</v>
      </c>
      <c r="P136" s="67">
        <v>45930</v>
      </c>
      <c r="Q136" s="60" t="str">
        <f t="shared" si="6"/>
        <v>October</v>
      </c>
      <c r="R136" s="75">
        <f t="shared" si="7"/>
        <v>2024</v>
      </c>
      <c r="S136" s="18" t="s">
        <v>28</v>
      </c>
      <c r="T136" s="18" t="s">
        <v>85</v>
      </c>
      <c r="U136" s="89" t="s">
        <v>30</v>
      </c>
      <c r="V136" s="89" t="s">
        <v>86</v>
      </c>
      <c r="W136" s="18">
        <v>45561</v>
      </c>
      <c r="X136" s="77">
        <f t="shared" si="8"/>
        <v>0</v>
      </c>
      <c r="Y136" t="str">
        <f t="shared" si="9"/>
        <v>Hares</v>
      </c>
    </row>
    <row r="137" spans="1:29" ht="16.5">
      <c r="A137" s="18" t="s">
        <v>467</v>
      </c>
      <c r="B137" s="18" t="s">
        <v>455</v>
      </c>
      <c r="C137" s="58" t="s">
        <v>27</v>
      </c>
      <c r="D137" s="51" t="s">
        <v>27</v>
      </c>
      <c r="E137" s="60">
        <v>5127624</v>
      </c>
      <c r="F137" s="60">
        <v>256381</v>
      </c>
      <c r="G137" s="60">
        <v>30000</v>
      </c>
      <c r="H137" s="61">
        <v>5414005</v>
      </c>
      <c r="I137" s="60" t="s">
        <v>151</v>
      </c>
      <c r="J137" s="61">
        <v>5414005</v>
      </c>
      <c r="K137" s="61">
        <v>1082801</v>
      </c>
      <c r="L137" s="18">
        <v>5</v>
      </c>
      <c r="M137" s="65">
        <v>1</v>
      </c>
      <c r="N137" s="18">
        <v>6</v>
      </c>
      <c r="O137" s="66">
        <v>45566</v>
      </c>
      <c r="P137" s="67">
        <v>45930</v>
      </c>
      <c r="Q137" s="60" t="str">
        <f t="shared" si="6"/>
        <v>October</v>
      </c>
      <c r="R137" s="75">
        <f t="shared" si="7"/>
        <v>2024</v>
      </c>
      <c r="S137" s="18" t="s">
        <v>34</v>
      </c>
      <c r="T137" s="18" t="s">
        <v>113</v>
      </c>
      <c r="U137" s="18"/>
      <c r="V137" s="18"/>
      <c r="W137" s="18">
        <v>45551</v>
      </c>
      <c r="X137" s="77">
        <f t="shared" si="8"/>
        <v>0.2</v>
      </c>
      <c r="Y137" t="str">
        <f t="shared" si="9"/>
        <v>Hares</v>
      </c>
    </row>
    <row r="138" spans="1:29" ht="16.5">
      <c r="A138" s="18" t="s">
        <v>468</v>
      </c>
      <c r="B138" s="18" t="s">
        <v>455</v>
      </c>
      <c r="C138" s="58" t="s">
        <v>27</v>
      </c>
      <c r="D138" s="51" t="s">
        <v>27</v>
      </c>
      <c r="E138" s="60">
        <v>1038732</v>
      </c>
      <c r="F138" s="60">
        <v>51937</v>
      </c>
      <c r="G138" s="60">
        <v>20000</v>
      </c>
      <c r="H138" s="61">
        <v>1110669</v>
      </c>
      <c r="I138" s="60" t="s">
        <v>151</v>
      </c>
      <c r="J138" s="61">
        <v>1110669</v>
      </c>
      <c r="K138" s="61">
        <v>555334</v>
      </c>
      <c r="L138" s="18">
        <v>2</v>
      </c>
      <c r="M138" s="65"/>
      <c r="N138" s="18">
        <v>2</v>
      </c>
      <c r="O138" s="66">
        <v>45566</v>
      </c>
      <c r="P138" s="67">
        <v>45930</v>
      </c>
      <c r="Q138" s="60" t="str">
        <f t="shared" si="6"/>
        <v>October</v>
      </c>
      <c r="R138" s="75">
        <f t="shared" si="7"/>
        <v>2024</v>
      </c>
      <c r="S138" s="18" t="s">
        <v>28</v>
      </c>
      <c r="T138" s="18" t="s">
        <v>28</v>
      </c>
      <c r="U138" s="18"/>
      <c r="V138" s="18"/>
      <c r="W138" s="18">
        <v>45560</v>
      </c>
      <c r="X138" s="77">
        <f t="shared" si="8"/>
        <v>0</v>
      </c>
      <c r="Y138" t="str">
        <f t="shared" si="9"/>
        <v>Hares</v>
      </c>
    </row>
    <row r="139" spans="1:29" ht="16.5">
      <c r="A139" s="18" t="s">
        <v>55</v>
      </c>
      <c r="B139" s="18" t="s">
        <v>463</v>
      </c>
      <c r="C139" s="58" t="s">
        <v>27</v>
      </c>
      <c r="D139" s="51" t="s">
        <v>27</v>
      </c>
      <c r="E139" s="60">
        <v>254947500</v>
      </c>
      <c r="F139" s="60">
        <v>12747375</v>
      </c>
      <c r="G139" s="60">
        <v>2466000</v>
      </c>
      <c r="H139" s="61">
        <v>270160875</v>
      </c>
      <c r="I139" s="60" t="s">
        <v>151</v>
      </c>
      <c r="J139" s="61">
        <v>270160875</v>
      </c>
      <c r="K139" s="61">
        <v>400238</v>
      </c>
      <c r="L139" s="18">
        <v>675</v>
      </c>
      <c r="M139" s="65">
        <v>147</v>
      </c>
      <c r="N139" s="18">
        <v>822</v>
      </c>
      <c r="O139" s="66">
        <v>45570</v>
      </c>
      <c r="P139" s="67">
        <v>45934</v>
      </c>
      <c r="Q139" s="60" t="str">
        <f t="shared" si="6"/>
        <v>October</v>
      </c>
      <c r="R139" s="75">
        <f t="shared" si="7"/>
        <v>2024</v>
      </c>
      <c r="S139" s="18" t="s">
        <v>28</v>
      </c>
      <c r="T139" s="18" t="s">
        <v>469</v>
      </c>
      <c r="U139" s="89" t="s">
        <v>30</v>
      </c>
      <c r="V139" s="91" t="s">
        <v>82</v>
      </c>
      <c r="W139" s="18">
        <v>45540</v>
      </c>
      <c r="X139" s="77">
        <f t="shared" si="8"/>
        <v>0.22</v>
      </c>
      <c r="Y139" t="str">
        <f t="shared" si="9"/>
        <v>Whales</v>
      </c>
    </row>
    <row r="140" spans="1:29" ht="16.5">
      <c r="A140" s="18" t="s">
        <v>470</v>
      </c>
      <c r="B140" s="18" t="s">
        <v>463</v>
      </c>
      <c r="C140" s="58" t="s">
        <v>27</v>
      </c>
      <c r="D140" s="51" t="s">
        <v>27</v>
      </c>
      <c r="E140" s="60">
        <v>27101176</v>
      </c>
      <c r="F140" s="60">
        <v>1355059</v>
      </c>
      <c r="G140" s="60" t="s">
        <v>151</v>
      </c>
      <c r="H140" s="61">
        <v>28456235</v>
      </c>
      <c r="I140" s="60" t="s">
        <v>151</v>
      </c>
      <c r="J140" s="61">
        <v>28456235</v>
      </c>
      <c r="K140" s="61">
        <v>1422812</v>
      </c>
      <c r="L140" s="18">
        <v>20</v>
      </c>
      <c r="M140" s="65">
        <v>56</v>
      </c>
      <c r="N140" s="18">
        <v>86</v>
      </c>
      <c r="O140" s="66">
        <v>45572</v>
      </c>
      <c r="P140" s="67">
        <v>45936</v>
      </c>
      <c r="Q140" s="60" t="str">
        <f t="shared" si="6"/>
        <v>October</v>
      </c>
      <c r="R140" s="75">
        <f t="shared" si="7"/>
        <v>2024</v>
      </c>
      <c r="S140" s="18" t="s">
        <v>28</v>
      </c>
      <c r="T140" s="18" t="s">
        <v>29</v>
      </c>
      <c r="U140" s="89" t="s">
        <v>30</v>
      </c>
      <c r="V140" s="18"/>
      <c r="W140" s="18" t="s">
        <v>471</v>
      </c>
      <c r="X140" s="77">
        <f t="shared" si="8"/>
        <v>2.8</v>
      </c>
      <c r="Y140" t="str">
        <f t="shared" si="9"/>
        <v>Hares</v>
      </c>
    </row>
    <row r="141" spans="1:29" ht="16.5">
      <c r="A141" s="18" t="s">
        <v>472</v>
      </c>
      <c r="B141" s="18" t="s">
        <v>455</v>
      </c>
      <c r="C141" s="58" t="s">
        <v>27</v>
      </c>
      <c r="D141" s="51" t="s">
        <v>27</v>
      </c>
      <c r="E141" s="60">
        <v>457803</v>
      </c>
      <c r="F141" s="60">
        <v>22890</v>
      </c>
      <c r="G141" s="60">
        <v>10000</v>
      </c>
      <c r="H141" s="61">
        <v>490693</v>
      </c>
      <c r="I141" s="60" t="s">
        <v>151</v>
      </c>
      <c r="J141" s="61">
        <v>490693</v>
      </c>
      <c r="K141" s="61">
        <v>490693</v>
      </c>
      <c r="L141" s="18">
        <v>1</v>
      </c>
      <c r="M141" s="65"/>
      <c r="N141" s="18">
        <v>1</v>
      </c>
      <c r="O141" s="66">
        <v>45575</v>
      </c>
      <c r="P141" s="67">
        <v>45939</v>
      </c>
      <c r="Q141" s="60" t="str">
        <f t="shared" si="6"/>
        <v>October</v>
      </c>
      <c r="R141" s="75">
        <f t="shared" si="7"/>
        <v>2024</v>
      </c>
      <c r="S141" s="18" t="s">
        <v>28</v>
      </c>
      <c r="T141" s="18" t="s">
        <v>28</v>
      </c>
      <c r="U141" s="18"/>
      <c r="V141" s="18"/>
      <c r="W141" s="18">
        <v>45532</v>
      </c>
      <c r="X141" s="77">
        <f t="shared" si="8"/>
        <v>0</v>
      </c>
      <c r="Y141" t="str">
        <f t="shared" si="9"/>
        <v>Hares</v>
      </c>
      <c r="Z141" s="53"/>
      <c r="AA141" s="53"/>
      <c r="AB141" s="53"/>
      <c r="AC141" s="53"/>
    </row>
    <row r="142" spans="1:29" ht="21" customHeight="1">
      <c r="A142" s="18" t="s">
        <v>473</v>
      </c>
      <c r="B142" s="18" t="s">
        <v>455</v>
      </c>
      <c r="C142" s="58" t="s">
        <v>27</v>
      </c>
      <c r="D142" s="51" t="s">
        <v>27</v>
      </c>
      <c r="E142" s="59">
        <v>3002201</v>
      </c>
      <c r="F142" s="59">
        <v>150110</v>
      </c>
      <c r="G142" s="59">
        <v>40000</v>
      </c>
      <c r="H142" s="59">
        <v>3192311</v>
      </c>
      <c r="I142" s="59" t="s">
        <v>151</v>
      </c>
      <c r="J142" s="59">
        <v>3192311</v>
      </c>
      <c r="K142" s="59">
        <v>798078</v>
      </c>
      <c r="L142" s="18">
        <v>4</v>
      </c>
      <c r="M142" s="65">
        <v>4</v>
      </c>
      <c r="N142" s="18">
        <v>8</v>
      </c>
      <c r="O142" s="66">
        <v>45579</v>
      </c>
      <c r="P142" s="67">
        <v>45943</v>
      </c>
      <c r="Q142" s="18" t="str">
        <f t="shared" si="6"/>
        <v>October</v>
      </c>
      <c r="R142" s="18">
        <f t="shared" si="7"/>
        <v>2024</v>
      </c>
      <c r="S142" s="18" t="s">
        <v>28</v>
      </c>
      <c r="T142" s="18" t="s">
        <v>28</v>
      </c>
      <c r="U142" s="18"/>
      <c r="V142" s="51"/>
      <c r="W142" s="74">
        <v>45484</v>
      </c>
      <c r="X142" s="58">
        <f t="shared" si="8"/>
        <v>1</v>
      </c>
      <c r="Y142" t="str">
        <f t="shared" si="9"/>
        <v>Hares</v>
      </c>
    </row>
    <row r="143" spans="1:29" ht="16.5">
      <c r="A143" s="18" t="s">
        <v>474</v>
      </c>
      <c r="B143" s="18" t="s">
        <v>455</v>
      </c>
      <c r="C143" s="58" t="s">
        <v>27</v>
      </c>
      <c r="D143" s="51" t="s">
        <v>27</v>
      </c>
      <c r="E143" s="60">
        <v>43279600</v>
      </c>
      <c r="F143" s="60">
        <v>2163980</v>
      </c>
      <c r="G143" s="60">
        <v>735000</v>
      </c>
      <c r="H143" s="61">
        <v>46178580</v>
      </c>
      <c r="I143" s="60" t="s">
        <v>151</v>
      </c>
      <c r="J143" s="61">
        <v>46178580</v>
      </c>
      <c r="K143" s="61">
        <v>1049513</v>
      </c>
      <c r="L143" s="18">
        <v>44</v>
      </c>
      <c r="M143" s="65">
        <v>90</v>
      </c>
      <c r="N143" s="18">
        <v>134</v>
      </c>
      <c r="O143" s="66">
        <v>45585</v>
      </c>
      <c r="P143" s="67">
        <v>45949</v>
      </c>
      <c r="Q143" s="60" t="str">
        <f t="shared" si="6"/>
        <v>October</v>
      </c>
      <c r="R143" s="75">
        <f t="shared" si="7"/>
        <v>2024</v>
      </c>
      <c r="S143" s="18" t="s">
        <v>34</v>
      </c>
      <c r="T143" s="18" t="s">
        <v>78</v>
      </c>
      <c r="U143" s="18"/>
      <c r="V143" s="18"/>
      <c r="W143" s="18">
        <v>45552</v>
      </c>
      <c r="X143" s="77">
        <f t="shared" si="8"/>
        <v>2.0499999999999998</v>
      </c>
      <c r="Y143" t="str">
        <f t="shared" si="9"/>
        <v>Tigers</v>
      </c>
    </row>
    <row r="144" spans="1:29" ht="16.5">
      <c r="A144" s="18" t="s">
        <v>475</v>
      </c>
      <c r="B144" s="18" t="s">
        <v>455</v>
      </c>
      <c r="C144" s="58" t="s">
        <v>27</v>
      </c>
      <c r="D144" s="51" t="s">
        <v>27</v>
      </c>
      <c r="E144" s="60">
        <v>4471553</v>
      </c>
      <c r="F144" s="60">
        <v>223578</v>
      </c>
      <c r="G144" s="60">
        <v>40000</v>
      </c>
      <c r="H144" s="61">
        <v>4735131</v>
      </c>
      <c r="I144" s="60" t="s">
        <v>151</v>
      </c>
      <c r="J144" s="61">
        <v>4735131</v>
      </c>
      <c r="K144" s="61">
        <v>947026</v>
      </c>
      <c r="L144" s="18">
        <v>5</v>
      </c>
      <c r="M144" s="65">
        <v>3</v>
      </c>
      <c r="N144" s="18">
        <v>8</v>
      </c>
      <c r="O144" s="66">
        <v>45587</v>
      </c>
      <c r="P144" s="67">
        <v>45951</v>
      </c>
      <c r="Q144" s="60" t="str">
        <f t="shared" si="6"/>
        <v>October</v>
      </c>
      <c r="R144" s="75">
        <f t="shared" si="7"/>
        <v>2024</v>
      </c>
      <c r="S144" s="18" t="s">
        <v>28</v>
      </c>
      <c r="T144" s="18" t="s">
        <v>29</v>
      </c>
      <c r="U144" s="89" t="s">
        <v>30</v>
      </c>
      <c r="V144" s="91" t="s">
        <v>31</v>
      </c>
      <c r="W144" s="18">
        <v>45583</v>
      </c>
      <c r="X144" s="77">
        <f t="shared" si="8"/>
        <v>0.6</v>
      </c>
      <c r="Y144" t="str">
        <f t="shared" si="9"/>
        <v>Hares</v>
      </c>
    </row>
    <row r="145" spans="1:29" ht="16.5">
      <c r="A145" s="18" t="s">
        <v>476</v>
      </c>
      <c r="B145" s="18" t="s">
        <v>455</v>
      </c>
      <c r="C145" s="58" t="s">
        <v>27</v>
      </c>
      <c r="D145" s="51" t="s">
        <v>27</v>
      </c>
      <c r="E145" s="60">
        <v>6300000</v>
      </c>
      <c r="F145" s="60">
        <v>315000</v>
      </c>
      <c r="G145" s="60" t="s">
        <v>151</v>
      </c>
      <c r="H145" s="61">
        <v>6615000</v>
      </c>
      <c r="I145" s="60" t="s">
        <v>151</v>
      </c>
      <c r="J145" s="61">
        <v>6615000</v>
      </c>
      <c r="K145" s="61">
        <v>367500</v>
      </c>
      <c r="L145" s="18">
        <v>18</v>
      </c>
      <c r="M145" s="65"/>
      <c r="N145" s="18">
        <v>18</v>
      </c>
      <c r="O145" s="66">
        <v>45587</v>
      </c>
      <c r="P145" s="67">
        <v>45951</v>
      </c>
      <c r="Q145" s="60" t="str">
        <f t="shared" si="6"/>
        <v>October</v>
      </c>
      <c r="R145" s="75">
        <f t="shared" si="7"/>
        <v>2024</v>
      </c>
      <c r="S145" s="18" t="s">
        <v>34</v>
      </c>
      <c r="T145" s="18" t="s">
        <v>85</v>
      </c>
      <c r="U145" s="89" t="s">
        <v>30</v>
      </c>
      <c r="V145" s="89" t="s">
        <v>86</v>
      </c>
      <c r="W145" s="18">
        <v>45457</v>
      </c>
      <c r="X145" s="77">
        <f t="shared" si="8"/>
        <v>0</v>
      </c>
      <c r="Y145" t="str">
        <f t="shared" si="9"/>
        <v>Hares</v>
      </c>
    </row>
    <row r="146" spans="1:29" ht="16.5">
      <c r="A146" s="18" t="s">
        <v>49</v>
      </c>
      <c r="B146" s="18" t="s">
        <v>463</v>
      </c>
      <c r="C146" s="58" t="s">
        <v>27</v>
      </c>
      <c r="D146" s="51" t="s">
        <v>27</v>
      </c>
      <c r="E146" s="60">
        <v>517003</v>
      </c>
      <c r="F146" s="60">
        <v>25850</v>
      </c>
      <c r="G146" s="60">
        <v>10000</v>
      </c>
      <c r="H146" s="61">
        <v>552853</v>
      </c>
      <c r="I146" s="60" t="s">
        <v>151</v>
      </c>
      <c r="J146" s="61">
        <v>552853</v>
      </c>
      <c r="K146" s="61">
        <v>552853</v>
      </c>
      <c r="L146" s="18">
        <v>1</v>
      </c>
      <c r="M146" s="65"/>
      <c r="N146" s="18">
        <v>1</v>
      </c>
      <c r="O146" s="66">
        <v>45588</v>
      </c>
      <c r="P146" s="67">
        <v>45952</v>
      </c>
      <c r="Q146" s="60" t="str">
        <f t="shared" si="6"/>
        <v>October</v>
      </c>
      <c r="R146" s="75">
        <f t="shared" si="7"/>
        <v>2024</v>
      </c>
      <c r="S146" s="18" t="s">
        <v>28</v>
      </c>
      <c r="T146" s="18" t="s">
        <v>28</v>
      </c>
      <c r="U146" s="18"/>
      <c r="V146" s="18"/>
      <c r="W146" s="18">
        <v>45511</v>
      </c>
      <c r="X146" s="77">
        <f t="shared" si="8"/>
        <v>0</v>
      </c>
      <c r="Y146" t="str">
        <f t="shared" si="9"/>
        <v>Hares</v>
      </c>
    </row>
    <row r="147" spans="1:29" ht="16.5">
      <c r="A147" s="18" t="s">
        <v>477</v>
      </c>
      <c r="B147" s="18" t="s">
        <v>455</v>
      </c>
      <c r="C147" s="58" t="s">
        <v>27</v>
      </c>
      <c r="D147" s="51" t="s">
        <v>27</v>
      </c>
      <c r="E147" s="60">
        <v>801144</v>
      </c>
      <c r="F147" s="60">
        <v>40057</v>
      </c>
      <c r="G147" s="60">
        <v>10000</v>
      </c>
      <c r="H147" s="61">
        <v>851201</v>
      </c>
      <c r="I147" s="60" t="s">
        <v>151</v>
      </c>
      <c r="J147" s="61">
        <v>851201</v>
      </c>
      <c r="K147" s="61">
        <v>851201</v>
      </c>
      <c r="L147" s="18">
        <v>1</v>
      </c>
      <c r="M147" s="65"/>
      <c r="N147" s="18">
        <v>1</v>
      </c>
      <c r="O147" s="66">
        <v>45591</v>
      </c>
      <c r="P147" s="67">
        <v>45955</v>
      </c>
      <c r="Q147" s="60" t="str">
        <f t="shared" si="6"/>
        <v>October</v>
      </c>
      <c r="R147" s="75">
        <f t="shared" si="7"/>
        <v>2024</v>
      </c>
      <c r="S147" s="18" t="s">
        <v>28</v>
      </c>
      <c r="T147" s="18" t="s">
        <v>28</v>
      </c>
      <c r="U147" s="18"/>
      <c r="V147" s="18"/>
      <c r="W147" s="18">
        <v>45570</v>
      </c>
      <c r="X147" s="77">
        <f t="shared" si="8"/>
        <v>0</v>
      </c>
      <c r="Y147" t="str">
        <f t="shared" si="9"/>
        <v>Hares</v>
      </c>
    </row>
    <row r="148" spans="1:29" ht="16.5">
      <c r="A148" s="18" t="s">
        <v>478</v>
      </c>
      <c r="B148" s="18" t="s">
        <v>455</v>
      </c>
      <c r="C148" s="58" t="s">
        <v>27</v>
      </c>
      <c r="D148" s="51" t="s">
        <v>27</v>
      </c>
      <c r="E148" s="60">
        <v>566875</v>
      </c>
      <c r="F148" s="60">
        <v>28344</v>
      </c>
      <c r="G148" s="60">
        <v>10000</v>
      </c>
      <c r="H148" s="61">
        <v>605219</v>
      </c>
      <c r="I148" s="60" t="s">
        <v>151</v>
      </c>
      <c r="J148" s="61">
        <v>605219</v>
      </c>
      <c r="K148" s="61">
        <v>605219</v>
      </c>
      <c r="L148" s="18">
        <v>1</v>
      </c>
      <c r="M148" s="65"/>
      <c r="N148" s="18">
        <v>1</v>
      </c>
      <c r="O148" s="66">
        <v>45594</v>
      </c>
      <c r="P148" s="67">
        <v>45958</v>
      </c>
      <c r="Q148" s="60" t="str">
        <f t="shared" si="6"/>
        <v>October</v>
      </c>
      <c r="R148" s="75">
        <f t="shared" si="7"/>
        <v>2024</v>
      </c>
      <c r="S148" s="18" t="s">
        <v>28</v>
      </c>
      <c r="T148" s="18" t="s">
        <v>28</v>
      </c>
      <c r="U148" s="18"/>
      <c r="V148" s="18"/>
      <c r="W148" s="18">
        <v>45570</v>
      </c>
      <c r="X148" s="77">
        <f t="shared" si="8"/>
        <v>0</v>
      </c>
      <c r="Y148" t="str">
        <f t="shared" si="9"/>
        <v>Hares</v>
      </c>
      <c r="Z148" s="53"/>
      <c r="AA148" s="53"/>
      <c r="AB148" s="53"/>
      <c r="AC148" s="53"/>
    </row>
    <row r="149" spans="1:29" ht="21" customHeight="1">
      <c r="A149" s="18" t="s">
        <v>479</v>
      </c>
      <c r="B149" s="18" t="s">
        <v>455</v>
      </c>
      <c r="C149" s="58" t="s">
        <v>27</v>
      </c>
      <c r="D149" s="51" t="s">
        <v>27</v>
      </c>
      <c r="E149" s="59">
        <v>4661984</v>
      </c>
      <c r="F149" s="59">
        <v>233099</v>
      </c>
      <c r="G149" s="59">
        <v>90000</v>
      </c>
      <c r="H149" s="59">
        <v>4985083</v>
      </c>
      <c r="I149" s="59" t="s">
        <v>151</v>
      </c>
      <c r="J149" s="59">
        <v>4985083</v>
      </c>
      <c r="K149" s="59">
        <v>1246271</v>
      </c>
      <c r="L149" s="18">
        <v>4</v>
      </c>
      <c r="M149" s="65">
        <v>5</v>
      </c>
      <c r="N149" s="18">
        <v>9</v>
      </c>
      <c r="O149" s="66">
        <v>45597</v>
      </c>
      <c r="P149" s="67">
        <v>45961</v>
      </c>
      <c r="Q149" s="18" t="str">
        <f t="shared" si="6"/>
        <v>November</v>
      </c>
      <c r="R149" s="18">
        <f t="shared" si="7"/>
        <v>2024</v>
      </c>
      <c r="S149" s="18" t="s">
        <v>28</v>
      </c>
      <c r="T149" s="18" t="s">
        <v>28</v>
      </c>
      <c r="U149" s="18"/>
      <c r="V149" s="51"/>
      <c r="W149" s="74">
        <v>45440</v>
      </c>
      <c r="X149" s="58">
        <f t="shared" si="8"/>
        <v>1.25</v>
      </c>
      <c r="Y149" t="str">
        <f t="shared" si="9"/>
        <v>Hares</v>
      </c>
    </row>
    <row r="150" spans="1:29" ht="16.5">
      <c r="A150" s="18" t="s">
        <v>480</v>
      </c>
      <c r="B150" s="18" t="s">
        <v>455</v>
      </c>
      <c r="C150" s="58" t="s">
        <v>27</v>
      </c>
      <c r="D150" s="51" t="s">
        <v>27</v>
      </c>
      <c r="E150" s="60">
        <v>3298829</v>
      </c>
      <c r="F150" s="60">
        <v>164941</v>
      </c>
      <c r="G150" s="60">
        <v>60000</v>
      </c>
      <c r="H150" s="61">
        <v>3523770</v>
      </c>
      <c r="I150" s="60" t="s">
        <v>151</v>
      </c>
      <c r="J150" s="61">
        <v>3523770</v>
      </c>
      <c r="K150" s="61">
        <v>3523770</v>
      </c>
      <c r="L150" s="18">
        <v>1</v>
      </c>
      <c r="M150" s="65">
        <v>5</v>
      </c>
      <c r="N150" s="18">
        <v>6</v>
      </c>
      <c r="O150" s="66">
        <v>45602</v>
      </c>
      <c r="P150" s="67">
        <v>45966</v>
      </c>
      <c r="Q150" s="60" t="str">
        <f t="shared" si="6"/>
        <v>November</v>
      </c>
      <c r="R150" s="75">
        <f t="shared" si="7"/>
        <v>2024</v>
      </c>
      <c r="S150" s="18" t="s">
        <v>28</v>
      </c>
      <c r="T150" s="18" t="s">
        <v>28</v>
      </c>
      <c r="U150" s="18"/>
      <c r="V150" s="18"/>
      <c r="W150" s="18">
        <v>45597</v>
      </c>
      <c r="X150" s="77">
        <f t="shared" si="8"/>
        <v>5</v>
      </c>
      <c r="Y150" t="str">
        <f t="shared" si="9"/>
        <v>Hares</v>
      </c>
    </row>
    <row r="151" spans="1:29" ht="16.5">
      <c r="A151" s="18"/>
      <c r="B151" s="18"/>
      <c r="C151" s="60"/>
      <c r="D151" s="60"/>
      <c r="E151" s="60"/>
      <c r="F151" s="60"/>
      <c r="G151" s="60"/>
      <c r="H151" s="61"/>
      <c r="I151" s="60"/>
      <c r="J151" s="61"/>
      <c r="K151" s="61"/>
      <c r="L151" s="18"/>
      <c r="M151" s="65"/>
      <c r="N151" s="18"/>
      <c r="O151" s="66"/>
      <c r="P151" s="67"/>
      <c r="Q151" s="60"/>
      <c r="R151" s="75"/>
      <c r="S151" s="18"/>
      <c r="T151" s="18"/>
      <c r="U151" s="18"/>
      <c r="V151" s="18"/>
      <c r="W151" s="18"/>
      <c r="X151" s="77"/>
    </row>
    <row r="152" spans="1:29" ht="16.5">
      <c r="A152" s="18"/>
      <c r="B152" s="18"/>
      <c r="C152" s="60"/>
      <c r="D152" s="60"/>
      <c r="E152" s="60"/>
      <c r="F152" s="60"/>
      <c r="G152" s="60"/>
      <c r="H152" s="61"/>
      <c r="I152" s="60"/>
      <c r="J152" s="61"/>
      <c r="K152" s="61"/>
      <c r="L152" s="18"/>
      <c r="M152" s="65"/>
      <c r="N152" s="18"/>
      <c r="O152" s="66"/>
      <c r="P152" s="67"/>
      <c r="Q152" s="60"/>
      <c r="R152" s="75">
        <v>11</v>
      </c>
      <c r="S152" s="18"/>
      <c r="T152" s="18"/>
      <c r="U152" s="18"/>
      <c r="V152" s="18"/>
      <c r="W152" s="18"/>
      <c r="X152" s="77"/>
    </row>
    <row r="153" spans="1:29" ht="16.5">
      <c r="A153" s="18"/>
      <c r="B153" s="18"/>
      <c r="C153" s="60"/>
      <c r="D153" s="60"/>
      <c r="E153" s="60"/>
      <c r="F153" s="60"/>
      <c r="G153" s="60"/>
      <c r="H153" s="61"/>
      <c r="I153" s="60"/>
      <c r="J153" s="61"/>
      <c r="K153" s="61"/>
      <c r="L153" s="18"/>
      <c r="M153" s="65"/>
      <c r="N153" s="18"/>
      <c r="O153" s="66"/>
      <c r="P153" s="67"/>
      <c r="Q153" s="60"/>
      <c r="R153" s="75"/>
      <c r="S153" s="18"/>
      <c r="T153" s="18"/>
      <c r="U153" s="18"/>
      <c r="V153" s="18"/>
      <c r="W153" s="18"/>
      <c r="X153" s="77"/>
    </row>
    <row r="154" spans="1:29" ht="16.5">
      <c r="A154" s="18"/>
      <c r="B154" s="18"/>
      <c r="C154" s="60"/>
      <c r="D154" s="60"/>
      <c r="E154" s="60"/>
      <c r="F154" s="60"/>
      <c r="G154" s="60"/>
      <c r="H154" s="61"/>
      <c r="I154" s="60"/>
      <c r="J154" s="61"/>
      <c r="K154" s="61"/>
      <c r="L154" s="18"/>
      <c r="M154" s="65"/>
      <c r="N154" s="18"/>
      <c r="O154" s="66"/>
      <c r="P154" s="67"/>
      <c r="Q154" s="60"/>
      <c r="R154" s="75"/>
      <c r="S154" s="18"/>
      <c r="T154" s="18"/>
      <c r="U154" s="18"/>
      <c r="V154" s="18"/>
      <c r="W154" s="18"/>
      <c r="X154" s="77"/>
    </row>
    <row r="155" spans="1:29" ht="16.5">
      <c r="A155" s="18"/>
      <c r="B155" s="18"/>
      <c r="C155" s="60"/>
      <c r="D155" s="60"/>
      <c r="E155" s="60"/>
      <c r="F155" s="60"/>
      <c r="G155" s="60"/>
      <c r="H155" s="61"/>
      <c r="I155" s="60"/>
      <c r="J155" s="61"/>
      <c r="K155" s="61"/>
      <c r="L155" s="18"/>
      <c r="M155" s="65"/>
      <c r="N155" s="18"/>
      <c r="O155" s="66"/>
      <c r="P155" s="67"/>
      <c r="Q155" s="60"/>
      <c r="R155" s="75"/>
      <c r="S155" s="18"/>
      <c r="T155" s="18"/>
      <c r="U155" s="18"/>
      <c r="V155" s="18"/>
      <c r="W155" s="18"/>
      <c r="X155" s="77"/>
      <c r="Z155" s="53"/>
      <c r="AA155" s="53"/>
      <c r="AB155" s="53"/>
      <c r="AC155" s="53"/>
    </row>
    <row r="156" spans="1:29" ht="21" customHeight="1">
      <c r="A156" s="18"/>
      <c r="B156" s="18"/>
      <c r="C156" s="58"/>
      <c r="D156" s="58"/>
      <c r="E156" s="59"/>
      <c r="F156" s="59"/>
      <c r="G156" s="59"/>
      <c r="H156" s="59"/>
      <c r="I156" s="59"/>
      <c r="J156" s="59"/>
      <c r="K156" s="59"/>
      <c r="L156" s="18"/>
      <c r="M156" s="65"/>
      <c r="N156" s="18"/>
      <c r="O156" s="66"/>
      <c r="P156" s="67"/>
      <c r="Q156" s="18"/>
      <c r="R156" s="18"/>
      <c r="S156" s="18"/>
      <c r="T156" s="18"/>
      <c r="U156" s="18"/>
      <c r="V156" s="51"/>
      <c r="W156" s="74"/>
      <c r="X156" s="58"/>
    </row>
    <row r="157" spans="1:29" ht="16.5">
      <c r="A157" s="18"/>
      <c r="B157" s="18"/>
      <c r="C157" s="60"/>
      <c r="D157" s="60"/>
      <c r="E157" s="60"/>
      <c r="F157" s="60"/>
      <c r="G157" s="60"/>
      <c r="H157" s="61"/>
      <c r="I157" s="60"/>
      <c r="J157" s="61"/>
      <c r="K157" s="61"/>
      <c r="L157" s="18"/>
      <c r="M157" s="65"/>
      <c r="N157" s="18"/>
      <c r="O157" s="66"/>
      <c r="P157" s="67"/>
      <c r="Q157" s="60"/>
      <c r="R157" s="75"/>
      <c r="S157" s="18"/>
      <c r="T157" s="18"/>
      <c r="U157" s="18"/>
      <c r="V157" s="18"/>
      <c r="W157" s="18"/>
      <c r="X157" s="77"/>
    </row>
    <row r="158" spans="1:29" ht="15.75" customHeight="1"/>
    <row r="159" spans="1:29" ht="15.75" customHeight="1"/>
    <row r="160" spans="1:29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autoFilter ref="A2:AC126" xr:uid="{00000000-0009-0000-0000-000000000000}">
    <sortState xmlns:xlrd2="http://schemas.microsoft.com/office/spreadsheetml/2017/richdata2" ref="A3:AC126">
      <sortCondition ref="O2:O126"/>
    </sortState>
  </autoFilter>
  <sortState xmlns:xlrd2="http://schemas.microsoft.com/office/spreadsheetml/2017/richdata2" ref="A3:Y1053">
    <sortCondition ref="A1:A105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8" sqref="D8"/>
    </sheetView>
  </sheetViews>
  <sheetFormatPr defaultColWidth="9.140625" defaultRowHeight="15"/>
  <cols>
    <col min="1" max="1" width="30" style="49" customWidth="1"/>
    <col min="2" max="3" width="10.85546875" style="49" customWidth="1"/>
    <col min="4" max="4" width="16" style="49" customWidth="1"/>
    <col min="5" max="16384" width="9.140625" style="49"/>
  </cols>
  <sheetData>
    <row r="1" spans="1:4" ht="28.5">
      <c r="A1" s="50" t="s">
        <v>21</v>
      </c>
      <c r="B1" s="50" t="s">
        <v>181</v>
      </c>
      <c r="C1" s="50" t="s">
        <v>3</v>
      </c>
      <c r="D1" s="50" t="s">
        <v>182</v>
      </c>
    </row>
    <row r="2" spans="1:4">
      <c r="A2" s="51" t="s">
        <v>183</v>
      </c>
      <c r="B2" s="51" t="s">
        <v>91</v>
      </c>
      <c r="C2" s="51" t="s">
        <v>91</v>
      </c>
      <c r="D2" s="52">
        <v>119881450</v>
      </c>
    </row>
    <row r="3" spans="1:4">
      <c r="A3" s="51" t="s">
        <v>183</v>
      </c>
      <c r="B3" s="51" t="s">
        <v>27</v>
      </c>
      <c r="C3" s="51" t="s">
        <v>27</v>
      </c>
      <c r="D3" s="52">
        <v>600000000</v>
      </c>
    </row>
    <row r="4" spans="1:4">
      <c r="A4" s="51" t="s">
        <v>183</v>
      </c>
      <c r="B4" s="51" t="s">
        <v>70</v>
      </c>
      <c r="C4" s="51" t="s">
        <v>70</v>
      </c>
      <c r="D4" s="52">
        <v>400000000</v>
      </c>
    </row>
    <row r="5" spans="1:4">
      <c r="A5" s="51" t="s">
        <v>86</v>
      </c>
      <c r="B5" s="51" t="s">
        <v>91</v>
      </c>
      <c r="C5" s="51" t="s">
        <v>91</v>
      </c>
      <c r="D5" s="52">
        <v>119881450</v>
      </c>
    </row>
    <row r="6" spans="1:4">
      <c r="A6" s="51" t="s">
        <v>86</v>
      </c>
      <c r="B6" s="51" t="s">
        <v>27</v>
      </c>
      <c r="C6" s="51" t="s">
        <v>27</v>
      </c>
      <c r="D6" s="52">
        <v>1200000000</v>
      </c>
    </row>
    <row r="7" spans="1:4">
      <c r="A7" s="51" t="s">
        <v>86</v>
      </c>
      <c r="B7" s="51" t="s">
        <v>70</v>
      </c>
      <c r="C7" s="51" t="s">
        <v>70</v>
      </c>
      <c r="D7" s="52">
        <v>500000000</v>
      </c>
    </row>
    <row r="8" spans="1:4">
      <c r="A8" s="51" t="s">
        <v>124</v>
      </c>
      <c r="B8" s="51" t="s">
        <v>91</v>
      </c>
      <c r="C8" s="51" t="s">
        <v>91</v>
      </c>
      <c r="D8" s="52">
        <v>119881450</v>
      </c>
    </row>
    <row r="9" spans="1:4">
      <c r="A9" s="51" t="s">
        <v>124</v>
      </c>
      <c r="B9" s="51" t="s">
        <v>27</v>
      </c>
      <c r="C9" s="51" t="s">
        <v>27</v>
      </c>
      <c r="D9" s="52">
        <v>1200000000</v>
      </c>
    </row>
    <row r="10" spans="1:4">
      <c r="A10" s="51" t="s">
        <v>124</v>
      </c>
      <c r="B10" s="51" t="s">
        <v>70</v>
      </c>
      <c r="C10" s="51" t="s">
        <v>70</v>
      </c>
      <c r="D10" s="52">
        <v>500000000</v>
      </c>
    </row>
    <row r="11" spans="1:4">
      <c r="A11" s="51" t="s">
        <v>82</v>
      </c>
      <c r="B11" s="51" t="s">
        <v>91</v>
      </c>
      <c r="C11" s="51" t="s">
        <v>91</v>
      </c>
      <c r="D11" s="52">
        <v>119881450</v>
      </c>
    </row>
    <row r="12" spans="1:4">
      <c r="A12" s="51" t="s">
        <v>82</v>
      </c>
      <c r="B12" s="51" t="s">
        <v>27</v>
      </c>
      <c r="C12" s="51" t="s">
        <v>27</v>
      </c>
      <c r="D12" s="52">
        <v>1200000000</v>
      </c>
    </row>
    <row r="13" spans="1:4">
      <c r="A13" s="51" t="s">
        <v>82</v>
      </c>
      <c r="B13" s="51" t="s">
        <v>70</v>
      </c>
      <c r="C13" s="51" t="s">
        <v>70</v>
      </c>
      <c r="D13" s="52">
        <v>200000000</v>
      </c>
    </row>
    <row r="14" spans="1:4">
      <c r="A14" s="51" t="s">
        <v>107</v>
      </c>
      <c r="B14" s="51" t="s">
        <v>91</v>
      </c>
      <c r="C14" s="51" t="s">
        <v>91</v>
      </c>
      <c r="D14" s="52">
        <v>119881450</v>
      </c>
    </row>
    <row r="15" spans="1:4">
      <c r="A15" s="51" t="s">
        <v>107</v>
      </c>
      <c r="B15" s="51" t="s">
        <v>27</v>
      </c>
      <c r="C15" s="51" t="s">
        <v>27</v>
      </c>
      <c r="D15" s="52">
        <v>1050000000</v>
      </c>
    </row>
    <row r="16" spans="1:4">
      <c r="A16" s="51" t="s">
        <v>107</v>
      </c>
      <c r="B16" s="51" t="s">
        <v>70</v>
      </c>
      <c r="C16" s="51" t="s">
        <v>70</v>
      </c>
      <c r="D16" s="52">
        <v>200000000</v>
      </c>
    </row>
    <row r="17" spans="1:4">
      <c r="A17" s="51" t="s">
        <v>31</v>
      </c>
      <c r="B17" s="51" t="s">
        <v>91</v>
      </c>
      <c r="C17" s="51" t="s">
        <v>91</v>
      </c>
      <c r="D17" s="52">
        <v>119881450</v>
      </c>
    </row>
    <row r="18" spans="1:4">
      <c r="A18" s="51" t="s">
        <v>31</v>
      </c>
      <c r="B18" s="51" t="s">
        <v>27</v>
      </c>
      <c r="C18" s="51" t="s">
        <v>27</v>
      </c>
      <c r="D18" s="52">
        <v>1050000000</v>
      </c>
    </row>
    <row r="19" spans="1:4">
      <c r="A19" s="51" t="s">
        <v>31</v>
      </c>
      <c r="B19" s="51" t="s">
        <v>70</v>
      </c>
      <c r="C19" s="51" t="s">
        <v>70</v>
      </c>
      <c r="D19" s="52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7"/>
  <sheetViews>
    <sheetView topLeftCell="C1" workbookViewId="0">
      <pane ySplit="1" topLeftCell="A243" activePane="bottomLeft" state="frozen"/>
      <selection activeCell="C1" sqref="C1"/>
      <selection pane="bottomLeft" activeCell="G257" sqref="G257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23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7" t="s">
        <v>0</v>
      </c>
      <c r="B1" s="24" t="s">
        <v>18</v>
      </c>
      <c r="C1" s="24" t="s">
        <v>184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185</v>
      </c>
      <c r="I1" s="26" t="s">
        <v>186</v>
      </c>
      <c r="J1" s="26" t="s">
        <v>187</v>
      </c>
      <c r="K1" s="26" t="s">
        <v>188</v>
      </c>
      <c r="L1" s="26" t="s">
        <v>189</v>
      </c>
      <c r="M1" s="26" t="s">
        <v>9</v>
      </c>
      <c r="N1" s="31" t="s">
        <v>190</v>
      </c>
      <c r="O1" s="17" t="s">
        <v>2</v>
      </c>
    </row>
    <row r="2" spans="1:17" ht="16.5">
      <c r="A2" s="27" t="s">
        <v>37</v>
      </c>
      <c r="B2" s="27" t="s">
        <v>28</v>
      </c>
      <c r="C2" s="27" t="s">
        <v>194</v>
      </c>
      <c r="D2" s="28">
        <v>45079</v>
      </c>
      <c r="E2" s="29" t="str">
        <f>TEXT(D2,"mmmm")</f>
        <v>June</v>
      </c>
      <c r="F2" s="18">
        <f>YEAR(D2)</f>
        <v>2023</v>
      </c>
      <c r="G2" s="29">
        <v>45395</v>
      </c>
      <c r="H2" s="30">
        <f>G2-D2+1</f>
        <v>317</v>
      </c>
      <c r="I2" s="32">
        <v>117041</v>
      </c>
      <c r="J2" s="32">
        <f>I2*H2/365</f>
        <v>101649.30684931506</v>
      </c>
      <c r="K2" s="32">
        <f>J2*5%</f>
        <v>5082.4653424657536</v>
      </c>
      <c r="L2" s="32">
        <v>5000</v>
      </c>
      <c r="M2" s="32">
        <f>SUM(J2:L2)</f>
        <v>111731.77219178082</v>
      </c>
      <c r="N2" t="s">
        <v>193</v>
      </c>
      <c r="O2" t="s">
        <v>27</v>
      </c>
      <c r="Q2" s="33"/>
    </row>
    <row r="3" spans="1:17" ht="16.5">
      <c r="A3" s="27" t="s">
        <v>37</v>
      </c>
      <c r="B3" s="27" t="s">
        <v>28</v>
      </c>
      <c r="C3" s="27" t="s">
        <v>195</v>
      </c>
      <c r="D3" s="28">
        <v>45079</v>
      </c>
      <c r="E3" s="29" t="str">
        <f>TEXT(D3,"mmmm")</f>
        <v>June</v>
      </c>
      <c r="F3" s="18">
        <f>YEAR(D3)</f>
        <v>2023</v>
      </c>
      <c r="G3" s="29">
        <v>45395</v>
      </c>
      <c r="H3" s="30">
        <f>G3-D3+1</f>
        <v>317</v>
      </c>
      <c r="I3" s="32">
        <v>117041</v>
      </c>
      <c r="J3" s="32">
        <f>I3*H3/365</f>
        <v>101649.30684931506</v>
      </c>
      <c r="K3" s="32">
        <f>J3*5%</f>
        <v>5082.4653424657536</v>
      </c>
      <c r="L3" s="32">
        <v>5000</v>
      </c>
      <c r="M3" s="32">
        <f>SUM(J3:L3)</f>
        <v>111731.77219178082</v>
      </c>
      <c r="N3" t="s">
        <v>193</v>
      </c>
      <c r="O3" t="s">
        <v>27</v>
      </c>
      <c r="Q3" s="33"/>
    </row>
    <row r="4" spans="1:17" ht="16.5">
      <c r="A4" s="27" t="s">
        <v>37</v>
      </c>
      <c r="B4" s="27" t="s">
        <v>28</v>
      </c>
      <c r="C4" s="27" t="s">
        <v>196</v>
      </c>
      <c r="D4" s="28">
        <v>45079</v>
      </c>
      <c r="E4" s="29" t="str">
        <f>TEXT(D4,"mmmm")</f>
        <v>June</v>
      </c>
      <c r="F4" s="18">
        <f>YEAR(D4)</f>
        <v>2023</v>
      </c>
      <c r="G4" s="29">
        <v>45395</v>
      </c>
      <c r="H4" s="30">
        <f>G4-D4+1</f>
        <v>317</v>
      </c>
      <c r="I4" s="32">
        <v>289008</v>
      </c>
      <c r="J4" s="32">
        <f>I4*H4/365</f>
        <v>251001.46849315069</v>
      </c>
      <c r="K4" s="32">
        <f>J4*5%</f>
        <v>12550.073424657536</v>
      </c>
      <c r="L4" s="32">
        <v>25000</v>
      </c>
      <c r="M4" s="32">
        <f>SUM(J4:L4)</f>
        <v>288551.54191780824</v>
      </c>
      <c r="N4" t="s">
        <v>193</v>
      </c>
      <c r="O4" t="s">
        <v>27</v>
      </c>
      <c r="Q4" s="33"/>
    </row>
    <row r="5" spans="1:17" ht="16.5">
      <c r="A5" s="27" t="s">
        <v>37</v>
      </c>
      <c r="B5" s="27" t="s">
        <v>28</v>
      </c>
      <c r="C5" s="27" t="s">
        <v>202</v>
      </c>
      <c r="D5" s="28">
        <v>45117</v>
      </c>
      <c r="E5" s="29" t="str">
        <f>TEXT(D5,"mmmm")</f>
        <v>July</v>
      </c>
      <c r="F5" s="18">
        <f>YEAR(D5)</f>
        <v>2023</v>
      </c>
      <c r="G5" s="29">
        <v>45395</v>
      </c>
      <c r="H5" s="30">
        <f>G5-D5+1</f>
        <v>279</v>
      </c>
      <c r="I5" s="32">
        <v>117041</v>
      </c>
      <c r="J5" s="32">
        <f>I5*H5/365</f>
        <v>89464.216438356161</v>
      </c>
      <c r="K5" s="32">
        <f>J5*5%</f>
        <v>4473.2108219178081</v>
      </c>
      <c r="L5" s="32">
        <v>5000</v>
      </c>
      <c r="M5" s="32">
        <f>SUM(J5:L5)</f>
        <v>98937.427260273966</v>
      </c>
      <c r="N5" t="s">
        <v>193</v>
      </c>
      <c r="O5" t="s">
        <v>27</v>
      </c>
      <c r="Q5" s="33"/>
    </row>
    <row r="6" spans="1:17" ht="16.5">
      <c r="A6" s="27" t="s">
        <v>37</v>
      </c>
      <c r="B6" s="27" t="s">
        <v>28</v>
      </c>
      <c r="C6" s="27" t="s">
        <v>201</v>
      </c>
      <c r="D6" s="28">
        <v>45208</v>
      </c>
      <c r="E6" s="29" t="str">
        <f>TEXT(D6,"mmmm")</f>
        <v>October</v>
      </c>
      <c r="F6" s="18">
        <f>YEAR(D6)</f>
        <v>2023</v>
      </c>
      <c r="G6" s="29">
        <v>45395</v>
      </c>
      <c r="H6" s="30">
        <f>G6-D6+1</f>
        <v>188</v>
      </c>
      <c r="I6" s="32">
        <v>117041</v>
      </c>
      <c r="J6" s="32">
        <f>I6*H6/365</f>
        <v>60284.131506849313</v>
      </c>
      <c r="K6" s="32">
        <f>J6*5%</f>
        <v>3014.2065753424658</v>
      </c>
      <c r="L6" s="32">
        <v>5000</v>
      </c>
      <c r="M6" s="32">
        <f>SUM(J6:L6)</f>
        <v>68298.338082191782</v>
      </c>
      <c r="N6" t="s">
        <v>193</v>
      </c>
      <c r="O6" t="s">
        <v>27</v>
      </c>
      <c r="Q6" s="33"/>
    </row>
    <row r="7" spans="1:17" ht="16.5">
      <c r="A7" s="27" t="s">
        <v>37</v>
      </c>
      <c r="B7" s="27" t="s">
        <v>28</v>
      </c>
      <c r="C7" s="27" t="s">
        <v>197</v>
      </c>
      <c r="D7" s="28">
        <v>45211</v>
      </c>
      <c r="E7" s="29" t="str">
        <f>TEXT(D7,"mmmm")</f>
        <v>October</v>
      </c>
      <c r="F7" s="18">
        <f>YEAR(D7)</f>
        <v>2023</v>
      </c>
      <c r="G7" s="29">
        <v>45395</v>
      </c>
      <c r="H7" s="30">
        <f>G7-D7+1</f>
        <v>185</v>
      </c>
      <c r="I7" s="32">
        <v>117041</v>
      </c>
      <c r="J7" s="32">
        <f>I7*H7/365</f>
        <v>59322.150684931505</v>
      </c>
      <c r="K7" s="32">
        <f>J7*5%</f>
        <v>2966.1075342465756</v>
      </c>
      <c r="L7" s="32">
        <v>5000</v>
      </c>
      <c r="M7" s="32">
        <f>SUM(J7:L7)</f>
        <v>67288.258219178082</v>
      </c>
      <c r="N7" t="s">
        <v>193</v>
      </c>
      <c r="O7" t="s">
        <v>27</v>
      </c>
      <c r="Q7" s="33"/>
    </row>
    <row r="8" spans="1:17" ht="16.5">
      <c r="A8" s="27" t="s">
        <v>37</v>
      </c>
      <c r="B8" s="27" t="s">
        <v>28</v>
      </c>
      <c r="C8" s="27" t="s">
        <v>198</v>
      </c>
      <c r="D8" s="28">
        <v>45211</v>
      </c>
      <c r="E8" s="29" t="str">
        <f>TEXT(D8,"mmmm")</f>
        <v>October</v>
      </c>
      <c r="F8" s="18">
        <f>YEAR(D8)</f>
        <v>2023</v>
      </c>
      <c r="G8" s="29">
        <v>45395</v>
      </c>
      <c r="H8" s="30">
        <f>G8-D8+1</f>
        <v>185</v>
      </c>
      <c r="I8" s="32">
        <v>117041</v>
      </c>
      <c r="J8" s="32">
        <f>I8*H8/365</f>
        <v>59322.150684931505</v>
      </c>
      <c r="K8" s="32">
        <f>J8*5%</f>
        <v>2966.1075342465756</v>
      </c>
      <c r="L8" s="32">
        <v>5000</v>
      </c>
      <c r="M8" s="32">
        <f>SUM(J8:L8)</f>
        <v>67288.258219178082</v>
      </c>
      <c r="N8" t="s">
        <v>193</v>
      </c>
      <c r="O8" t="s">
        <v>27</v>
      </c>
      <c r="Q8" s="33"/>
    </row>
    <row r="9" spans="1:17" ht="16.5">
      <c r="A9" s="27" t="s">
        <v>37</v>
      </c>
      <c r="B9" s="27" t="s">
        <v>28</v>
      </c>
      <c r="C9" s="27" t="s">
        <v>199</v>
      </c>
      <c r="D9" s="28">
        <v>45211</v>
      </c>
      <c r="E9" s="29" t="str">
        <f>TEXT(D9,"mmmm")</f>
        <v>October</v>
      </c>
      <c r="F9" s="18">
        <f>YEAR(D9)</f>
        <v>2023</v>
      </c>
      <c r="G9" s="29">
        <v>45395</v>
      </c>
      <c r="H9" s="30">
        <f>G9-D9+1</f>
        <v>185</v>
      </c>
      <c r="I9" s="32">
        <v>117041</v>
      </c>
      <c r="J9" s="32">
        <f>I9*H9/365</f>
        <v>59322.150684931505</v>
      </c>
      <c r="K9" s="32">
        <f>J9*5%</f>
        <v>2966.1075342465756</v>
      </c>
      <c r="L9" s="32">
        <v>5000</v>
      </c>
      <c r="M9" s="32">
        <f>SUM(J9:L9)</f>
        <v>67288.258219178082</v>
      </c>
      <c r="N9" t="s">
        <v>193</v>
      </c>
      <c r="O9" t="s">
        <v>27</v>
      </c>
      <c r="Q9" s="33"/>
    </row>
    <row r="10" spans="1:17" ht="16.5">
      <c r="A10" s="27" t="s">
        <v>37</v>
      </c>
      <c r="B10" s="27" t="s">
        <v>28</v>
      </c>
      <c r="C10" s="27" t="s">
        <v>200</v>
      </c>
      <c r="D10" s="28">
        <v>45211</v>
      </c>
      <c r="E10" s="29" t="str">
        <f>TEXT(D10,"mmmm")</f>
        <v>October</v>
      </c>
      <c r="F10" s="18">
        <f>YEAR(D10)</f>
        <v>2023</v>
      </c>
      <c r="G10" s="29">
        <v>45395</v>
      </c>
      <c r="H10" s="30">
        <f>G10-D10+1</f>
        <v>185</v>
      </c>
      <c r="I10" s="32">
        <v>213797</v>
      </c>
      <c r="J10" s="32">
        <f>I10*H10/365</f>
        <v>108362.86301369863</v>
      </c>
      <c r="K10" s="32">
        <f>J10*5%</f>
        <v>5418.1431506849322</v>
      </c>
      <c r="L10" s="32">
        <v>10000</v>
      </c>
      <c r="M10" s="32">
        <f>SUM(J10:L10)</f>
        <v>123781.00616438357</v>
      </c>
      <c r="N10" t="s">
        <v>193</v>
      </c>
      <c r="O10" t="s">
        <v>27</v>
      </c>
      <c r="Q10" s="33"/>
    </row>
    <row r="11" spans="1:17" ht="16.5">
      <c r="A11" s="27" t="s">
        <v>206</v>
      </c>
      <c r="B11" s="27" t="s">
        <v>34</v>
      </c>
      <c r="C11" s="27" t="s">
        <v>207</v>
      </c>
      <c r="D11" s="28">
        <v>45222</v>
      </c>
      <c r="E11" s="29" t="str">
        <f>TEXT(D11,"mmmm")</f>
        <v>October</v>
      </c>
      <c r="F11" s="18">
        <f>YEAR(D11)</f>
        <v>2023</v>
      </c>
      <c r="G11" s="29">
        <v>45457</v>
      </c>
      <c r="H11" s="30">
        <f>G11-D11+1</f>
        <v>236</v>
      </c>
      <c r="I11" s="32">
        <v>498432</v>
      </c>
      <c r="J11" s="32">
        <f>I11*H11/365</f>
        <v>322273.84109589038</v>
      </c>
      <c r="K11" s="32">
        <f>J11*5%</f>
        <v>16113.692054794519</v>
      </c>
      <c r="L11" s="32">
        <v>10000</v>
      </c>
      <c r="M11" s="32">
        <f>SUM(J11:L11)</f>
        <v>348387.5331506849</v>
      </c>
      <c r="N11" t="s">
        <v>193</v>
      </c>
      <c r="O11" t="s">
        <v>27</v>
      </c>
      <c r="Q11" s="33"/>
    </row>
    <row r="12" spans="1:17" ht="16.5">
      <c r="A12" s="27" t="s">
        <v>191</v>
      </c>
      <c r="B12" s="27" t="s">
        <v>34</v>
      </c>
      <c r="C12" s="27" t="s">
        <v>192</v>
      </c>
      <c r="D12" s="28">
        <v>45261</v>
      </c>
      <c r="E12" s="29" t="str">
        <f>TEXT(D12,"mmmm")</f>
        <v>December</v>
      </c>
      <c r="F12" s="18">
        <f>YEAR(D12)</f>
        <v>2023</v>
      </c>
      <c r="G12" s="29">
        <v>45510</v>
      </c>
      <c r="H12" s="30">
        <f>G12-D12+1</f>
        <v>250</v>
      </c>
      <c r="I12" s="32">
        <v>1059466</v>
      </c>
      <c r="J12" s="32">
        <f>I12*H12/365</f>
        <v>725661.64383561641</v>
      </c>
      <c r="K12" s="32">
        <f>J12*5%</f>
        <v>36283.082191780821</v>
      </c>
      <c r="L12" s="32">
        <v>40000</v>
      </c>
      <c r="M12" s="32">
        <f>SUM(J12:L12)</f>
        <v>801944.72602739721</v>
      </c>
      <c r="N12" t="s">
        <v>193</v>
      </c>
      <c r="O12" t="s">
        <v>27</v>
      </c>
      <c r="Q12" s="33"/>
    </row>
    <row r="13" spans="1:17" ht="16.5">
      <c r="A13" s="27" t="s">
        <v>215</v>
      </c>
      <c r="B13" s="27" t="s">
        <v>28</v>
      </c>
      <c r="C13" s="27" t="s">
        <v>216</v>
      </c>
      <c r="D13" s="28">
        <v>45272</v>
      </c>
      <c r="E13" s="29" t="str">
        <f>TEXT(D13,"mmmm")</f>
        <v>December</v>
      </c>
      <c r="F13" s="18">
        <f>YEAR(D13)</f>
        <v>2023</v>
      </c>
      <c r="G13" s="29">
        <v>45535</v>
      </c>
      <c r="H13" s="30">
        <v>264</v>
      </c>
      <c r="I13" s="32">
        <v>417659</v>
      </c>
      <c r="J13" s="32">
        <f>I13*H13/365</f>
        <v>302087.60547945206</v>
      </c>
      <c r="K13" s="32">
        <f>J13*5%</f>
        <v>15104.380273972603</v>
      </c>
      <c r="L13" s="32">
        <v>10000</v>
      </c>
      <c r="M13" s="32">
        <f>SUM(J13:L13)</f>
        <v>327191.98575342464</v>
      </c>
      <c r="N13" t="s">
        <v>193</v>
      </c>
      <c r="O13" t="s">
        <v>27</v>
      </c>
      <c r="Q13" s="33"/>
    </row>
    <row r="14" spans="1:17" ht="16.5">
      <c r="A14" s="27" t="s">
        <v>215</v>
      </c>
      <c r="B14" s="27" t="s">
        <v>28</v>
      </c>
      <c r="C14" s="27" t="s">
        <v>217</v>
      </c>
      <c r="D14" s="28">
        <v>45272</v>
      </c>
      <c r="E14" s="29" t="str">
        <f>TEXT(D14,"mmmm")</f>
        <v>December</v>
      </c>
      <c r="F14" s="18">
        <f>YEAR(D14)</f>
        <v>2023</v>
      </c>
      <c r="G14" s="29">
        <v>45535</v>
      </c>
      <c r="H14" s="30">
        <v>264</v>
      </c>
      <c r="I14" s="32">
        <v>1018715</v>
      </c>
      <c r="J14" s="32">
        <f>I14*H14/365</f>
        <v>736824</v>
      </c>
      <c r="K14" s="32">
        <f>J14*5%</f>
        <v>36841.200000000004</v>
      </c>
      <c r="L14" s="32">
        <v>40000</v>
      </c>
      <c r="M14" s="32">
        <f>SUM(J14:L14)</f>
        <v>813665.2</v>
      </c>
      <c r="N14" t="s">
        <v>193</v>
      </c>
      <c r="O14" t="s">
        <v>27</v>
      </c>
      <c r="Q14" s="33"/>
    </row>
    <row r="15" spans="1:17" ht="16.5">
      <c r="A15" s="27" t="s">
        <v>37</v>
      </c>
      <c r="B15" s="27" t="s">
        <v>28</v>
      </c>
      <c r="C15" s="27" t="s">
        <v>203</v>
      </c>
      <c r="D15" s="28">
        <v>45273</v>
      </c>
      <c r="E15" s="29" t="str">
        <f>TEXT(D15,"mmmm")</f>
        <v>December</v>
      </c>
      <c r="F15" s="18">
        <f>YEAR(D15)</f>
        <v>2023</v>
      </c>
      <c r="G15" s="29">
        <v>45395</v>
      </c>
      <c r="H15" s="30">
        <f>G15-D15+1</f>
        <v>123</v>
      </c>
      <c r="I15" s="32">
        <v>117041</v>
      </c>
      <c r="J15" s="32">
        <f>I15*H15/365</f>
        <v>39441.213698630134</v>
      </c>
      <c r="K15" s="32">
        <f>J15*5%</f>
        <v>1972.0606849315068</v>
      </c>
      <c r="L15" s="32">
        <v>5000</v>
      </c>
      <c r="M15" s="32">
        <f>SUM(J15:L15)</f>
        <v>46413.274383561642</v>
      </c>
      <c r="N15" t="s">
        <v>193</v>
      </c>
      <c r="O15" t="s">
        <v>27</v>
      </c>
      <c r="Q15" s="33"/>
    </row>
    <row r="16" spans="1:17" ht="16.5">
      <c r="A16" s="27" t="s">
        <v>37</v>
      </c>
      <c r="B16" s="27" t="s">
        <v>28</v>
      </c>
      <c r="C16" s="27" t="s">
        <v>204</v>
      </c>
      <c r="D16" s="28">
        <v>45273</v>
      </c>
      <c r="E16" s="29" t="str">
        <f>TEXT(D16,"mmmm")</f>
        <v>December</v>
      </c>
      <c r="F16" s="18">
        <f>YEAR(D16)</f>
        <v>2023</v>
      </c>
      <c r="G16" s="29">
        <v>45395</v>
      </c>
      <c r="H16" s="30">
        <f>G16-D16+1</f>
        <v>123</v>
      </c>
      <c r="I16" s="32">
        <v>117041</v>
      </c>
      <c r="J16" s="32">
        <f>I16*H16/365</f>
        <v>39441.213698630134</v>
      </c>
      <c r="K16" s="32">
        <f>J16*5%</f>
        <v>1972.0606849315068</v>
      </c>
      <c r="L16" s="32">
        <v>5000</v>
      </c>
      <c r="M16" s="32">
        <f>SUM(J16:L16)</f>
        <v>46413.274383561642</v>
      </c>
      <c r="N16" t="s">
        <v>193</v>
      </c>
      <c r="O16" t="s">
        <v>27</v>
      </c>
    </row>
    <row r="17" spans="1:15" ht="16.5">
      <c r="A17" s="27" t="s">
        <v>37</v>
      </c>
      <c r="B17" s="27" t="s">
        <v>28</v>
      </c>
      <c r="C17" s="27" t="s">
        <v>205</v>
      </c>
      <c r="D17" s="28">
        <v>45273</v>
      </c>
      <c r="E17" s="29" t="str">
        <f>TEXT(D17,"mmmm")</f>
        <v>December</v>
      </c>
      <c r="F17" s="18">
        <f>YEAR(D17)</f>
        <v>2023</v>
      </c>
      <c r="G17" s="29">
        <v>45395</v>
      </c>
      <c r="H17" s="30">
        <f>G17-D17+1</f>
        <v>123</v>
      </c>
      <c r="I17" s="32">
        <v>117041</v>
      </c>
      <c r="J17" s="32">
        <f>I17*H17/365</f>
        <v>39441.213698630134</v>
      </c>
      <c r="K17" s="32">
        <f>J17*5%</f>
        <v>1972.0606849315068</v>
      </c>
      <c r="L17" s="32">
        <v>5000</v>
      </c>
      <c r="M17" s="32">
        <f>SUM(J17:L17)</f>
        <v>46413.274383561642</v>
      </c>
      <c r="N17" t="s">
        <v>193</v>
      </c>
      <c r="O17" t="s">
        <v>27</v>
      </c>
    </row>
    <row r="18" spans="1:15" ht="16.5">
      <c r="A18" s="27" t="s">
        <v>37</v>
      </c>
      <c r="B18" s="27" t="s">
        <v>28</v>
      </c>
      <c r="C18" s="27" t="s">
        <v>203</v>
      </c>
      <c r="D18" s="28">
        <v>45273</v>
      </c>
      <c r="E18" s="29" t="str">
        <f>TEXT(D18,"mmmm")</f>
        <v>December</v>
      </c>
      <c r="F18" s="18">
        <f>YEAR(D18)</f>
        <v>2023</v>
      </c>
      <c r="G18" s="29">
        <v>45395</v>
      </c>
      <c r="H18" s="30">
        <v>123</v>
      </c>
      <c r="I18" s="32">
        <v>117041</v>
      </c>
      <c r="J18" s="32">
        <f>I18*H18/365</f>
        <v>39441.213698630134</v>
      </c>
      <c r="K18" s="32">
        <f>J18*5%</f>
        <v>1972.0606849315068</v>
      </c>
      <c r="L18" s="32">
        <v>5000</v>
      </c>
      <c r="M18" s="32">
        <f>SUM(J18:L18)</f>
        <v>46413.274383561642</v>
      </c>
      <c r="N18" t="s">
        <v>193</v>
      </c>
      <c r="O18" t="s">
        <v>27</v>
      </c>
    </row>
    <row r="19" spans="1:15" ht="16.5">
      <c r="A19" s="27" t="s">
        <v>37</v>
      </c>
      <c r="B19" s="27" t="s">
        <v>28</v>
      </c>
      <c r="C19" s="27" t="s">
        <v>204</v>
      </c>
      <c r="D19" s="28">
        <v>45273</v>
      </c>
      <c r="E19" s="29" t="str">
        <f>TEXT(D19,"mmmm")</f>
        <v>December</v>
      </c>
      <c r="F19" s="18">
        <f>YEAR(D19)</f>
        <v>2023</v>
      </c>
      <c r="G19" s="29">
        <v>45395</v>
      </c>
      <c r="H19" s="30">
        <v>123</v>
      </c>
      <c r="I19" s="32">
        <v>117041</v>
      </c>
      <c r="J19" s="32">
        <f>I19*H19/365</f>
        <v>39441.213698630134</v>
      </c>
      <c r="K19" s="32">
        <f>J19*5%</f>
        <v>1972.0606849315068</v>
      </c>
      <c r="L19" s="32">
        <v>5000</v>
      </c>
      <c r="M19" s="32">
        <f>SUM(J19:L19)</f>
        <v>46413.274383561642</v>
      </c>
      <c r="N19" t="s">
        <v>193</v>
      </c>
      <c r="O19" t="s">
        <v>27</v>
      </c>
    </row>
    <row r="20" spans="1:15" ht="16.5">
      <c r="A20" s="27" t="s">
        <v>37</v>
      </c>
      <c r="B20" s="27" t="s">
        <v>28</v>
      </c>
      <c r="C20" s="27" t="s">
        <v>205</v>
      </c>
      <c r="D20" s="28">
        <v>45273</v>
      </c>
      <c r="E20" s="29" t="str">
        <f>TEXT(D20,"mmmm")</f>
        <v>December</v>
      </c>
      <c r="F20" s="18">
        <f>YEAR(D20)</f>
        <v>2023</v>
      </c>
      <c r="G20" s="29">
        <v>45395</v>
      </c>
      <c r="H20" s="30">
        <v>123</v>
      </c>
      <c r="I20" s="32">
        <v>117041</v>
      </c>
      <c r="J20" s="32">
        <f>I20*H20/365</f>
        <v>39441.213698630134</v>
      </c>
      <c r="K20" s="32">
        <f>J20*5%</f>
        <v>1972.0606849315068</v>
      </c>
      <c r="L20" s="32">
        <v>5000</v>
      </c>
      <c r="M20" s="32">
        <f>SUM(J20:L20)</f>
        <v>46413.274383561642</v>
      </c>
      <c r="N20" t="s">
        <v>193</v>
      </c>
      <c r="O20" t="s">
        <v>27</v>
      </c>
    </row>
    <row r="21" spans="1:15" ht="15.75" customHeight="1">
      <c r="A21" s="27" t="s">
        <v>211</v>
      </c>
      <c r="B21" s="27" t="s">
        <v>28</v>
      </c>
      <c r="C21" s="27" t="s">
        <v>212</v>
      </c>
      <c r="D21" s="28">
        <v>45292</v>
      </c>
      <c r="E21" s="29" t="str">
        <f>TEXT(D21,"mmmm")</f>
        <v>January</v>
      </c>
      <c r="F21" s="18">
        <f>YEAR(D21)</f>
        <v>2024</v>
      </c>
      <c r="G21" s="29">
        <v>45412</v>
      </c>
      <c r="H21" s="30">
        <f>G21-D21+1</f>
        <v>121</v>
      </c>
      <c r="I21" s="32">
        <f>145607.157*386</f>
        <v>56204362.602000006</v>
      </c>
      <c r="J21" s="32">
        <f>I21</f>
        <v>56204362.602000006</v>
      </c>
      <c r="K21" s="32">
        <f>J21*5%</f>
        <v>2810218.1301000006</v>
      </c>
      <c r="L21" s="32">
        <v>0</v>
      </c>
      <c r="M21" s="32">
        <f>SUM(J21:L21)</f>
        <v>59014580.73210001</v>
      </c>
      <c r="N21" t="s">
        <v>193</v>
      </c>
      <c r="O21" t="s">
        <v>27</v>
      </c>
    </row>
    <row r="22" spans="1:15" ht="15.75" customHeight="1">
      <c r="A22" s="27" t="s">
        <v>55</v>
      </c>
      <c r="B22" s="27" t="s">
        <v>28</v>
      </c>
      <c r="C22" s="27" t="s">
        <v>218</v>
      </c>
      <c r="D22" s="28">
        <v>45296</v>
      </c>
      <c r="E22" s="29" t="str">
        <f>TEXT(D22,"mmmm")</f>
        <v>January</v>
      </c>
      <c r="F22" s="18">
        <f>YEAR(D22)</f>
        <v>2024</v>
      </c>
      <c r="G22" s="29">
        <v>45570</v>
      </c>
      <c r="H22" s="30">
        <f>G22-D22+1</f>
        <v>275</v>
      </c>
      <c r="I22" s="32">
        <v>377700</v>
      </c>
      <c r="J22" s="32">
        <f>I22*H22/365</f>
        <v>284568.49315068492</v>
      </c>
      <c r="K22" s="32">
        <f>J22*5%</f>
        <v>14228.424657534248</v>
      </c>
      <c r="L22" s="32">
        <v>3000</v>
      </c>
      <c r="M22" s="32">
        <f>SUM(J22:L22)</f>
        <v>301796.91780821915</v>
      </c>
      <c r="N22" t="s">
        <v>193</v>
      </c>
      <c r="O22" t="s">
        <v>27</v>
      </c>
    </row>
    <row r="23" spans="1:15" ht="15.75" customHeight="1">
      <c r="A23" s="27" t="s">
        <v>55</v>
      </c>
      <c r="B23" s="27" t="s">
        <v>28</v>
      </c>
      <c r="C23" s="27" t="s">
        <v>219</v>
      </c>
      <c r="D23" s="28">
        <v>45296</v>
      </c>
      <c r="E23" s="29" t="str">
        <f>TEXT(D23,"mmmm")</f>
        <v>January</v>
      </c>
      <c r="F23" s="18">
        <f>YEAR(D23)</f>
        <v>2024</v>
      </c>
      <c r="G23" s="29">
        <v>45570</v>
      </c>
      <c r="H23" s="30">
        <f>G23-D23+1</f>
        <v>275</v>
      </c>
      <c r="I23" s="32">
        <v>377700</v>
      </c>
      <c r="J23" s="32">
        <f>I23*H23/365</f>
        <v>284568.49315068492</v>
      </c>
      <c r="K23" s="32">
        <f>J23*5%</f>
        <v>14228.424657534248</v>
      </c>
      <c r="L23" s="32">
        <v>3000</v>
      </c>
      <c r="M23" s="32">
        <f>SUM(J23:L23)</f>
        <v>301796.91780821915</v>
      </c>
      <c r="N23" t="s">
        <v>193</v>
      </c>
      <c r="O23" t="s">
        <v>27</v>
      </c>
    </row>
    <row r="24" spans="1:15" ht="15.75" customHeight="1">
      <c r="A24" s="27" t="s">
        <v>55</v>
      </c>
      <c r="B24" s="27" t="s">
        <v>28</v>
      </c>
      <c r="C24" s="27" t="s">
        <v>220</v>
      </c>
      <c r="D24" s="28">
        <v>45296</v>
      </c>
      <c r="E24" s="29" t="str">
        <f>TEXT(D24,"mmmm")</f>
        <v>January</v>
      </c>
      <c r="F24" s="18">
        <f>YEAR(D24)</f>
        <v>2024</v>
      </c>
      <c r="G24" s="29">
        <v>45570</v>
      </c>
      <c r="H24" s="30">
        <f>G24-D24+1</f>
        <v>275</v>
      </c>
      <c r="I24" s="32">
        <v>377700</v>
      </c>
      <c r="J24" s="32">
        <f>I24*H24/365</f>
        <v>284568.49315068492</v>
      </c>
      <c r="K24" s="32">
        <f>J24*5%</f>
        <v>14228.424657534248</v>
      </c>
      <c r="L24" s="32">
        <v>3000</v>
      </c>
      <c r="M24" s="32">
        <f>SUM(J24:L24)</f>
        <v>301796.91780821915</v>
      </c>
      <c r="N24" t="s">
        <v>193</v>
      </c>
      <c r="O24" t="s">
        <v>27</v>
      </c>
    </row>
    <row r="25" spans="1:15" ht="15.75" customHeight="1">
      <c r="A25" s="27" t="s">
        <v>55</v>
      </c>
      <c r="B25" s="27" t="s">
        <v>28</v>
      </c>
      <c r="C25" s="27" t="s">
        <v>221</v>
      </c>
      <c r="D25" s="28">
        <v>45296</v>
      </c>
      <c r="E25" s="29" t="str">
        <f>TEXT(D25,"mmmm")</f>
        <v>January</v>
      </c>
      <c r="F25" s="18">
        <f>YEAR(D25)</f>
        <v>2024</v>
      </c>
      <c r="G25" s="29">
        <v>45570</v>
      </c>
      <c r="H25" s="30">
        <f>G25-D25+1</f>
        <v>275</v>
      </c>
      <c r="I25" s="32">
        <v>377700</v>
      </c>
      <c r="J25" s="32">
        <f>I25*H25/365</f>
        <v>284568.49315068492</v>
      </c>
      <c r="K25" s="32">
        <f>J25*5%</f>
        <v>14228.424657534248</v>
      </c>
      <c r="L25" s="32">
        <v>9000</v>
      </c>
      <c r="M25" s="32">
        <f>SUM(J25:L25)</f>
        <v>307796.91780821915</v>
      </c>
      <c r="N25" t="s">
        <v>193</v>
      </c>
      <c r="O25" t="s">
        <v>27</v>
      </c>
    </row>
    <row r="26" spans="1:15" ht="15.75" customHeight="1">
      <c r="A26" s="27" t="s">
        <v>55</v>
      </c>
      <c r="B26" s="27" t="s">
        <v>28</v>
      </c>
      <c r="C26" s="27" t="s">
        <v>222</v>
      </c>
      <c r="D26" s="28">
        <v>45303</v>
      </c>
      <c r="E26" s="29" t="str">
        <f>TEXT(D26,"mmmm")</f>
        <v>January</v>
      </c>
      <c r="F26" s="18">
        <f>YEAR(D26)</f>
        <v>2024</v>
      </c>
      <c r="G26" s="29">
        <v>45570</v>
      </c>
      <c r="H26" s="30">
        <f>G26-D26+1</f>
        <v>268</v>
      </c>
      <c r="I26" s="32">
        <v>377700</v>
      </c>
      <c r="J26" s="32">
        <f>I26*H26/365</f>
        <v>277324.9315068493</v>
      </c>
      <c r="K26" s="32">
        <f>J26*5%</f>
        <v>13866.246575342466</v>
      </c>
      <c r="L26" s="32">
        <v>3000</v>
      </c>
      <c r="M26" s="32">
        <f>SUM(J26:L26)</f>
        <v>294191.17808219179</v>
      </c>
      <c r="N26" t="s">
        <v>193</v>
      </c>
      <c r="O26" t="s">
        <v>27</v>
      </c>
    </row>
    <row r="27" spans="1:15" ht="15.75" customHeight="1">
      <c r="A27" s="27" t="s">
        <v>55</v>
      </c>
      <c r="B27" s="27" t="s">
        <v>28</v>
      </c>
      <c r="C27" s="27" t="s">
        <v>223</v>
      </c>
      <c r="D27" s="28">
        <v>45303</v>
      </c>
      <c r="E27" s="29" t="str">
        <f>TEXT(D27,"mmmm")</f>
        <v>January</v>
      </c>
      <c r="F27" s="18">
        <f>YEAR(D27)</f>
        <v>2024</v>
      </c>
      <c r="G27" s="29">
        <v>45570</v>
      </c>
      <c r="H27" s="30">
        <f>G27-D27+1</f>
        <v>268</v>
      </c>
      <c r="I27" s="32">
        <v>377700</v>
      </c>
      <c r="J27" s="32">
        <f>I27*H27/365</f>
        <v>277324.9315068493</v>
      </c>
      <c r="K27" s="32">
        <f>J27*5%</f>
        <v>13866.246575342466</v>
      </c>
      <c r="L27" s="32">
        <v>3000</v>
      </c>
      <c r="M27" s="32">
        <f>SUM(J27:L27)</f>
        <v>294191.17808219179</v>
      </c>
      <c r="N27" t="s">
        <v>193</v>
      </c>
      <c r="O27" t="s">
        <v>27</v>
      </c>
    </row>
    <row r="28" spans="1:15" ht="15.75" customHeight="1">
      <c r="A28" s="27" t="s">
        <v>55</v>
      </c>
      <c r="B28" s="27" t="s">
        <v>28</v>
      </c>
      <c r="C28" s="27" t="s">
        <v>224</v>
      </c>
      <c r="D28" s="28">
        <v>45303</v>
      </c>
      <c r="E28" s="29" t="str">
        <f>TEXT(D28,"mmmm")</f>
        <v>January</v>
      </c>
      <c r="F28" s="18">
        <f>YEAR(D28)</f>
        <v>2024</v>
      </c>
      <c r="G28" s="29">
        <v>45570</v>
      </c>
      <c r="H28" s="30">
        <f>G28-D28+1</f>
        <v>268</v>
      </c>
      <c r="I28" s="32">
        <v>377700</v>
      </c>
      <c r="J28" s="32">
        <f>I28*H28/365</f>
        <v>277324.9315068493</v>
      </c>
      <c r="K28" s="32">
        <f>J28*5%</f>
        <v>13866.246575342466</v>
      </c>
      <c r="L28" s="32">
        <v>3000</v>
      </c>
      <c r="M28" s="32">
        <f>SUM(J28:L28)</f>
        <v>294191.17808219179</v>
      </c>
      <c r="N28" t="s">
        <v>193</v>
      </c>
      <c r="O28" t="s">
        <v>27</v>
      </c>
    </row>
    <row r="29" spans="1:15" ht="15.75" customHeight="1">
      <c r="A29" s="27" t="s">
        <v>55</v>
      </c>
      <c r="B29" s="27" t="s">
        <v>28</v>
      </c>
      <c r="C29" s="27" t="s">
        <v>225</v>
      </c>
      <c r="D29" s="28">
        <v>45303</v>
      </c>
      <c r="E29" s="29" t="str">
        <f>TEXT(D29,"mmmm")</f>
        <v>January</v>
      </c>
      <c r="F29" s="18">
        <f>YEAR(D29)</f>
        <v>2024</v>
      </c>
      <c r="G29" s="29">
        <v>45570</v>
      </c>
      <c r="H29" s="30">
        <f>G29-D29+1</f>
        <v>268</v>
      </c>
      <c r="I29" s="32">
        <v>377700</v>
      </c>
      <c r="J29" s="32">
        <f>I29*H29/365</f>
        <v>277324.9315068493</v>
      </c>
      <c r="K29" s="32">
        <f>J29*5%</f>
        <v>13866.246575342466</v>
      </c>
      <c r="L29" s="32">
        <v>3000</v>
      </c>
      <c r="M29" s="32">
        <f>SUM(J29:L29)</f>
        <v>294191.17808219179</v>
      </c>
      <c r="N29" t="s">
        <v>193</v>
      </c>
      <c r="O29" t="s">
        <v>27</v>
      </c>
    </row>
    <row r="30" spans="1:15" ht="15.75" customHeight="1">
      <c r="A30" s="27" t="s">
        <v>55</v>
      </c>
      <c r="B30" s="27" t="s">
        <v>28</v>
      </c>
      <c r="C30" s="27" t="s">
        <v>226</v>
      </c>
      <c r="D30" s="28">
        <v>45303</v>
      </c>
      <c r="E30" s="29" t="str">
        <f>TEXT(D30,"mmmm")</f>
        <v>January</v>
      </c>
      <c r="F30" s="18">
        <f>YEAR(D30)</f>
        <v>2024</v>
      </c>
      <c r="G30" s="29">
        <v>45570</v>
      </c>
      <c r="H30" s="30">
        <f>G30-D30+1</f>
        <v>268</v>
      </c>
      <c r="I30" s="32">
        <v>377700</v>
      </c>
      <c r="J30" s="32">
        <f>I30*H30/365</f>
        <v>277324.9315068493</v>
      </c>
      <c r="K30" s="32">
        <f>J30*5%</f>
        <v>13866.246575342466</v>
      </c>
      <c r="L30" s="32">
        <v>3000</v>
      </c>
      <c r="M30" s="32">
        <f>SUM(J30:L30)</f>
        <v>294191.17808219179</v>
      </c>
      <c r="N30" t="s">
        <v>193</v>
      </c>
      <c r="O30" t="s">
        <v>27</v>
      </c>
    </row>
    <row r="31" spans="1:15" ht="15.75" customHeight="1">
      <c r="A31" s="27" t="s">
        <v>55</v>
      </c>
      <c r="B31" s="27" t="s">
        <v>28</v>
      </c>
      <c r="C31" s="27" t="s">
        <v>227</v>
      </c>
      <c r="D31" s="28">
        <v>45303</v>
      </c>
      <c r="E31" s="29" t="str">
        <f>TEXT(D31,"mmmm")</f>
        <v>January</v>
      </c>
      <c r="F31" s="18">
        <f>YEAR(D31)</f>
        <v>2024</v>
      </c>
      <c r="G31" s="29">
        <v>45570</v>
      </c>
      <c r="H31" s="30">
        <f>G31-D31+1</f>
        <v>268</v>
      </c>
      <c r="I31" s="32">
        <v>377700</v>
      </c>
      <c r="J31" s="32">
        <f>I31*H31/365</f>
        <v>277324.9315068493</v>
      </c>
      <c r="K31" s="32">
        <f>J31*5%</f>
        <v>13866.246575342466</v>
      </c>
      <c r="L31" s="32">
        <v>3000</v>
      </c>
      <c r="M31" s="32">
        <f>SUM(J31:L31)</f>
        <v>294191.17808219179</v>
      </c>
      <c r="N31" t="s">
        <v>193</v>
      </c>
      <c r="O31" t="s">
        <v>27</v>
      </c>
    </row>
    <row r="32" spans="1:15" ht="15.75" customHeight="1">
      <c r="A32" s="27" t="s">
        <v>55</v>
      </c>
      <c r="B32" s="27" t="s">
        <v>28</v>
      </c>
      <c r="C32" s="27" t="s">
        <v>228</v>
      </c>
      <c r="D32" s="28">
        <v>45303</v>
      </c>
      <c r="E32" s="29" t="str">
        <f>TEXT(D32,"mmmm")</f>
        <v>January</v>
      </c>
      <c r="F32" s="18">
        <f>YEAR(D32)</f>
        <v>2024</v>
      </c>
      <c r="G32" s="29">
        <v>45570</v>
      </c>
      <c r="H32" s="30">
        <f>G32-D32+1</f>
        <v>268</v>
      </c>
      <c r="I32" s="32">
        <v>377700</v>
      </c>
      <c r="J32" s="32">
        <f>I32*H32/365</f>
        <v>277324.9315068493</v>
      </c>
      <c r="K32" s="32">
        <f>J32*5%</f>
        <v>13866.246575342466</v>
      </c>
      <c r="L32" s="32">
        <v>3000</v>
      </c>
      <c r="M32" s="32">
        <f>SUM(J32:L32)</f>
        <v>294191.17808219179</v>
      </c>
      <c r="N32" t="s">
        <v>193</v>
      </c>
      <c r="O32" t="s">
        <v>27</v>
      </c>
    </row>
    <row r="33" spans="1:15" ht="15.75" customHeight="1">
      <c r="A33" s="27" t="s">
        <v>55</v>
      </c>
      <c r="B33" s="27" t="s">
        <v>28</v>
      </c>
      <c r="C33" s="27" t="s">
        <v>229</v>
      </c>
      <c r="D33" s="28">
        <v>45303</v>
      </c>
      <c r="E33" s="29" t="str">
        <f>TEXT(D33,"mmmm")</f>
        <v>January</v>
      </c>
      <c r="F33" s="18">
        <f>YEAR(D33)</f>
        <v>2024</v>
      </c>
      <c r="G33" s="29">
        <v>45570</v>
      </c>
      <c r="H33" s="30">
        <f>G33-D33+1</f>
        <v>268</v>
      </c>
      <c r="I33" s="32">
        <v>377700</v>
      </c>
      <c r="J33" s="32">
        <f>I33*H33/365</f>
        <v>277324.9315068493</v>
      </c>
      <c r="K33" s="32">
        <f>J33*5%</f>
        <v>13866.246575342466</v>
      </c>
      <c r="L33" s="32">
        <v>3000</v>
      </c>
      <c r="M33" s="32">
        <f>SUM(J33:L33)</f>
        <v>294191.17808219179</v>
      </c>
      <c r="N33" t="s">
        <v>193</v>
      </c>
      <c r="O33" t="s">
        <v>27</v>
      </c>
    </row>
    <row r="34" spans="1:15" ht="15.75" customHeight="1">
      <c r="A34" s="27" t="s">
        <v>55</v>
      </c>
      <c r="B34" s="27" t="s">
        <v>28</v>
      </c>
      <c r="C34" s="27" t="s">
        <v>230</v>
      </c>
      <c r="D34" s="28">
        <v>45303</v>
      </c>
      <c r="E34" s="29" t="str">
        <f>TEXT(D34,"mmmm")</f>
        <v>January</v>
      </c>
      <c r="F34" s="18">
        <f>YEAR(D34)</f>
        <v>2024</v>
      </c>
      <c r="G34" s="29">
        <v>45570</v>
      </c>
      <c r="H34" s="30">
        <f>G34-D34+1</f>
        <v>268</v>
      </c>
      <c r="I34" s="32">
        <v>377700</v>
      </c>
      <c r="J34" s="32">
        <f>I34*H34/365</f>
        <v>277324.9315068493</v>
      </c>
      <c r="K34" s="32">
        <f>J34*5%</f>
        <v>13866.246575342466</v>
      </c>
      <c r="L34" s="32">
        <v>3000</v>
      </c>
      <c r="M34" s="32">
        <f>SUM(J34:L34)</f>
        <v>294191.17808219179</v>
      </c>
      <c r="N34" t="s">
        <v>193</v>
      </c>
      <c r="O34" t="s">
        <v>27</v>
      </c>
    </row>
    <row r="35" spans="1:15" ht="15.75" customHeight="1">
      <c r="A35" s="27" t="s">
        <v>55</v>
      </c>
      <c r="B35" s="27" t="s">
        <v>28</v>
      </c>
      <c r="C35" s="27" t="s">
        <v>231</v>
      </c>
      <c r="D35" s="28">
        <v>45303</v>
      </c>
      <c r="E35" s="29" t="str">
        <f>TEXT(D35,"mmmm")</f>
        <v>January</v>
      </c>
      <c r="F35" s="18">
        <f>YEAR(D35)</f>
        <v>2024</v>
      </c>
      <c r="G35" s="29">
        <v>45570</v>
      </c>
      <c r="H35" s="30">
        <f>G35-D35+1</f>
        <v>268</v>
      </c>
      <c r="I35" s="32">
        <v>377700</v>
      </c>
      <c r="J35" s="32">
        <f>I35*H35/365</f>
        <v>277324.9315068493</v>
      </c>
      <c r="K35" s="32">
        <f>J35*5%</f>
        <v>13866.246575342466</v>
      </c>
      <c r="L35" s="32">
        <v>3000</v>
      </c>
      <c r="M35" s="32">
        <f>SUM(J35:L35)</f>
        <v>294191.17808219179</v>
      </c>
      <c r="N35" t="s">
        <v>193</v>
      </c>
      <c r="O35" t="s">
        <v>27</v>
      </c>
    </row>
    <row r="36" spans="1:15" ht="15.75" customHeight="1">
      <c r="A36" s="27" t="s">
        <v>55</v>
      </c>
      <c r="B36" s="27" t="s">
        <v>28</v>
      </c>
      <c r="C36" s="27" t="s">
        <v>232</v>
      </c>
      <c r="D36" s="28">
        <v>45303</v>
      </c>
      <c r="E36" s="29" t="str">
        <f>TEXT(D36,"mmmm")</f>
        <v>January</v>
      </c>
      <c r="F36" s="18">
        <f>YEAR(D36)</f>
        <v>2024</v>
      </c>
      <c r="G36" s="29">
        <v>45570</v>
      </c>
      <c r="H36" s="30">
        <f>G36-D36+1</f>
        <v>268</v>
      </c>
      <c r="I36" s="32">
        <v>377700</v>
      </c>
      <c r="J36" s="32">
        <f>I36*H36/365</f>
        <v>277324.9315068493</v>
      </c>
      <c r="K36" s="32">
        <f>J36*5%</f>
        <v>13866.246575342466</v>
      </c>
      <c r="L36" s="32">
        <v>3000</v>
      </c>
      <c r="M36" s="32">
        <f>SUM(J36:L36)</f>
        <v>294191.17808219179</v>
      </c>
      <c r="N36" t="s">
        <v>193</v>
      </c>
      <c r="O36" t="s">
        <v>27</v>
      </c>
    </row>
    <row r="37" spans="1:15" ht="15.75" customHeight="1">
      <c r="A37" s="27" t="s">
        <v>55</v>
      </c>
      <c r="B37" s="27" t="s">
        <v>28</v>
      </c>
      <c r="C37" s="27" t="s">
        <v>233</v>
      </c>
      <c r="D37" s="28">
        <v>45303</v>
      </c>
      <c r="E37" s="29" t="str">
        <f>TEXT(D37,"mmmm")</f>
        <v>January</v>
      </c>
      <c r="F37" s="18">
        <f>YEAR(D37)</f>
        <v>2024</v>
      </c>
      <c r="G37" s="29">
        <v>45570</v>
      </c>
      <c r="H37" s="30">
        <f>G37-D37+1</f>
        <v>268</v>
      </c>
      <c r="I37" s="32">
        <v>377700</v>
      </c>
      <c r="J37" s="32">
        <f>I37*H37/365</f>
        <v>277324.9315068493</v>
      </c>
      <c r="K37" s="32">
        <f>J37*5%</f>
        <v>13866.246575342466</v>
      </c>
      <c r="L37" s="32">
        <v>3000</v>
      </c>
      <c r="M37" s="32">
        <f>SUM(J37:L37)</f>
        <v>294191.17808219179</v>
      </c>
      <c r="N37" t="s">
        <v>193</v>
      </c>
      <c r="O37" t="s">
        <v>27</v>
      </c>
    </row>
    <row r="38" spans="1:15" ht="15.75" customHeight="1">
      <c r="A38" s="27" t="s">
        <v>55</v>
      </c>
      <c r="B38" s="27" t="s">
        <v>28</v>
      </c>
      <c r="C38" s="27" t="s">
        <v>234</v>
      </c>
      <c r="D38" s="28">
        <v>45303</v>
      </c>
      <c r="E38" s="29" t="str">
        <f>TEXT(D38,"mmmm")</f>
        <v>January</v>
      </c>
      <c r="F38" s="18">
        <f>YEAR(D38)</f>
        <v>2024</v>
      </c>
      <c r="G38" s="29">
        <v>45570</v>
      </c>
      <c r="H38" s="30">
        <f>G38-D38+1</f>
        <v>268</v>
      </c>
      <c r="I38" s="32">
        <v>377700</v>
      </c>
      <c r="J38" s="32">
        <f>I38*H38/365</f>
        <v>277324.9315068493</v>
      </c>
      <c r="K38" s="32">
        <f>J38*5%</f>
        <v>13866.246575342466</v>
      </c>
      <c r="L38" s="32">
        <v>3000</v>
      </c>
      <c r="M38" s="32">
        <f>SUM(J38:L38)</f>
        <v>294191.17808219179</v>
      </c>
      <c r="N38" t="s">
        <v>193</v>
      </c>
      <c r="O38" t="s">
        <v>27</v>
      </c>
    </row>
    <row r="39" spans="1:15" ht="15.75" customHeight="1">
      <c r="A39" s="27" t="s">
        <v>55</v>
      </c>
      <c r="B39" s="27" t="s">
        <v>28</v>
      </c>
      <c r="C39" s="27" t="s">
        <v>235</v>
      </c>
      <c r="D39" s="28">
        <v>45303</v>
      </c>
      <c r="E39" s="29" t="str">
        <f>TEXT(D39,"mmmm")</f>
        <v>January</v>
      </c>
      <c r="F39" s="18">
        <f>YEAR(D39)</f>
        <v>2024</v>
      </c>
      <c r="G39" s="29">
        <v>45570</v>
      </c>
      <c r="H39" s="30">
        <f>G39-D39+1</f>
        <v>268</v>
      </c>
      <c r="I39" s="32">
        <v>377700</v>
      </c>
      <c r="J39" s="32">
        <f>I39*H39/365</f>
        <v>277324.9315068493</v>
      </c>
      <c r="K39" s="32">
        <f>J39*5%</f>
        <v>13866.246575342466</v>
      </c>
      <c r="L39" s="32">
        <v>3000</v>
      </c>
      <c r="M39" s="32">
        <f>SUM(J39:L39)</f>
        <v>294191.17808219179</v>
      </c>
      <c r="N39" t="s">
        <v>193</v>
      </c>
      <c r="O39" t="s">
        <v>27</v>
      </c>
    </row>
    <row r="40" spans="1:15" ht="15.75" customHeight="1">
      <c r="A40" s="27" t="s">
        <v>55</v>
      </c>
      <c r="B40" s="27" t="s">
        <v>28</v>
      </c>
      <c r="C40" s="27" t="s">
        <v>236</v>
      </c>
      <c r="D40" s="28">
        <v>45303</v>
      </c>
      <c r="E40" s="29" t="str">
        <f>TEXT(D40,"mmmm")</f>
        <v>January</v>
      </c>
      <c r="F40" s="18">
        <f>YEAR(D40)</f>
        <v>2024</v>
      </c>
      <c r="G40" s="29">
        <v>45570</v>
      </c>
      <c r="H40" s="30">
        <f>G40-D40+1</f>
        <v>268</v>
      </c>
      <c r="I40" s="32">
        <v>377700</v>
      </c>
      <c r="J40" s="32">
        <f>I40*H40/365</f>
        <v>277324.9315068493</v>
      </c>
      <c r="K40" s="32">
        <f>J40*5%</f>
        <v>13866.246575342466</v>
      </c>
      <c r="L40" s="32">
        <v>3000</v>
      </c>
      <c r="M40" s="32">
        <f>SUM(J40:L40)</f>
        <v>294191.17808219179</v>
      </c>
      <c r="N40" t="s">
        <v>193</v>
      </c>
      <c r="O40" t="s">
        <v>27</v>
      </c>
    </row>
    <row r="41" spans="1:15" ht="15.75" customHeight="1">
      <c r="A41" s="27" t="s">
        <v>55</v>
      </c>
      <c r="B41" s="27" t="s">
        <v>28</v>
      </c>
      <c r="C41" s="27" t="s">
        <v>237</v>
      </c>
      <c r="D41" s="28">
        <v>45308</v>
      </c>
      <c r="E41" s="29" t="str">
        <f>TEXT(D41,"mmmm")</f>
        <v>January</v>
      </c>
      <c r="F41" s="18">
        <f>YEAR(D41)</f>
        <v>2024</v>
      </c>
      <c r="G41" s="29">
        <v>45570</v>
      </c>
      <c r="H41" s="30">
        <f>G41-D41+1</f>
        <v>263</v>
      </c>
      <c r="I41" s="32">
        <v>377700</v>
      </c>
      <c r="J41" s="32">
        <f>I41*H41/365</f>
        <v>272150.9589041096</v>
      </c>
      <c r="K41" s="32">
        <f>J41*5%</f>
        <v>13607.547945205481</v>
      </c>
      <c r="L41" s="32">
        <v>3000</v>
      </c>
      <c r="M41" s="32">
        <f>SUM(J41:L41)</f>
        <v>288758.50684931508</v>
      </c>
      <c r="N41" t="s">
        <v>193</v>
      </c>
      <c r="O41" t="s">
        <v>27</v>
      </c>
    </row>
    <row r="42" spans="1:15" ht="15.75" customHeight="1">
      <c r="A42" s="27" t="s">
        <v>55</v>
      </c>
      <c r="B42" s="27" t="s">
        <v>28</v>
      </c>
      <c r="C42" s="27" t="s">
        <v>238</v>
      </c>
      <c r="D42" s="28">
        <v>45308</v>
      </c>
      <c r="E42" s="29" t="str">
        <f>TEXT(D42,"mmmm")</f>
        <v>January</v>
      </c>
      <c r="F42" s="18">
        <f>YEAR(D42)</f>
        <v>2024</v>
      </c>
      <c r="G42" s="29">
        <v>45570</v>
      </c>
      <c r="H42" s="30">
        <f>G42-D42+1</f>
        <v>263</v>
      </c>
      <c r="I42" s="32">
        <v>377700</v>
      </c>
      <c r="J42" s="32">
        <f>I42*H42/365</f>
        <v>272150.9589041096</v>
      </c>
      <c r="K42" s="32">
        <f>J42*5%</f>
        <v>13607.547945205481</v>
      </c>
      <c r="L42" s="32">
        <v>3000</v>
      </c>
      <c r="M42" s="32">
        <f>SUM(J42:L42)</f>
        <v>288758.50684931508</v>
      </c>
      <c r="N42" t="s">
        <v>193</v>
      </c>
      <c r="O42" t="s">
        <v>27</v>
      </c>
    </row>
    <row r="43" spans="1:15" ht="15.75" customHeight="1">
      <c r="A43" s="27" t="s">
        <v>55</v>
      </c>
      <c r="B43" s="27" t="s">
        <v>28</v>
      </c>
      <c r="C43" s="27" t="s">
        <v>239</v>
      </c>
      <c r="D43" s="28">
        <v>45309</v>
      </c>
      <c r="E43" s="29" t="str">
        <f>TEXT(D43,"mmmm")</f>
        <v>January</v>
      </c>
      <c r="F43" s="18">
        <f>YEAR(D43)</f>
        <v>2024</v>
      </c>
      <c r="G43" s="29">
        <v>45570</v>
      </c>
      <c r="H43" s="30">
        <f>G43-D43+1</f>
        <v>262</v>
      </c>
      <c r="I43" s="32">
        <v>377700</v>
      </c>
      <c r="J43" s="32">
        <f>I43*H43/365</f>
        <v>271116.16438356164</v>
      </c>
      <c r="K43" s="32">
        <f>J43*5%</f>
        <v>13555.808219178083</v>
      </c>
      <c r="L43" s="32">
        <v>3000</v>
      </c>
      <c r="M43" s="32">
        <f>SUM(J43:L43)</f>
        <v>287671.9726027397</v>
      </c>
      <c r="N43" t="s">
        <v>193</v>
      </c>
      <c r="O43" t="s">
        <v>27</v>
      </c>
    </row>
    <row r="44" spans="1:15" ht="15.75" customHeight="1">
      <c r="A44" s="27" t="s">
        <v>47</v>
      </c>
      <c r="B44" s="27" t="s">
        <v>40</v>
      </c>
      <c r="C44" s="27" t="s">
        <v>266</v>
      </c>
      <c r="D44" s="28">
        <v>45313</v>
      </c>
      <c r="E44" s="29" t="str">
        <f>TEXT(D44,"mmmm")</f>
        <v>January</v>
      </c>
      <c r="F44" s="18">
        <f>YEAR(D44)</f>
        <v>2024</v>
      </c>
      <c r="G44" s="29">
        <v>45494</v>
      </c>
      <c r="H44" s="30">
        <f>G44-D44+1</f>
        <v>182</v>
      </c>
      <c r="I44" s="32">
        <v>867136</v>
      </c>
      <c r="J44" s="32">
        <f>I44*H44/365</f>
        <v>432380.14246575342</v>
      </c>
      <c r="K44" s="32">
        <f>J44*5%</f>
        <v>21619.007123287673</v>
      </c>
      <c r="L44" s="32">
        <v>10000</v>
      </c>
      <c r="M44" s="32">
        <f>SUM(J44:L44)</f>
        <v>463999.14958904107</v>
      </c>
      <c r="N44" t="s">
        <v>193</v>
      </c>
      <c r="O44" t="s">
        <v>27</v>
      </c>
    </row>
    <row r="45" spans="1:15" ht="15.75" customHeight="1">
      <c r="A45" s="27" t="s">
        <v>55</v>
      </c>
      <c r="B45" s="27" t="s">
        <v>28</v>
      </c>
      <c r="C45" s="27" t="s">
        <v>240</v>
      </c>
      <c r="D45" s="28">
        <v>45315</v>
      </c>
      <c r="E45" s="29" t="str">
        <f>TEXT(D45,"mmmm")</f>
        <v>January</v>
      </c>
      <c r="F45" s="18">
        <f>YEAR(D45)</f>
        <v>2024</v>
      </c>
      <c r="G45" s="29">
        <v>45570</v>
      </c>
      <c r="H45" s="30">
        <f>G45-D45+1</f>
        <v>256</v>
      </c>
      <c r="I45" s="32">
        <v>377700</v>
      </c>
      <c r="J45" s="32">
        <f>I45*H45/365</f>
        <v>264907.39726027398</v>
      </c>
      <c r="K45" s="32">
        <f>J45*5%</f>
        <v>13245.369863013701</v>
      </c>
      <c r="L45" s="32">
        <v>3000</v>
      </c>
      <c r="M45" s="32">
        <f>SUM(J45:L45)</f>
        <v>281152.76712328766</v>
      </c>
      <c r="N45" t="s">
        <v>193</v>
      </c>
      <c r="O45" t="s">
        <v>27</v>
      </c>
    </row>
    <row r="46" spans="1:15" ht="15.75" customHeight="1">
      <c r="A46" s="27" t="s">
        <v>55</v>
      </c>
      <c r="B46" s="27" t="s">
        <v>28</v>
      </c>
      <c r="C46" s="27" t="s">
        <v>241</v>
      </c>
      <c r="D46" s="28">
        <v>45315</v>
      </c>
      <c r="E46" s="29" t="str">
        <f>TEXT(D46,"mmmm")</f>
        <v>January</v>
      </c>
      <c r="F46" s="18">
        <f>YEAR(D46)</f>
        <v>2024</v>
      </c>
      <c r="G46" s="29">
        <v>45570</v>
      </c>
      <c r="H46" s="30">
        <f>G46-D46+1</f>
        <v>256</v>
      </c>
      <c r="I46" s="32">
        <v>377700</v>
      </c>
      <c r="J46" s="32">
        <f>I46*H46/365</f>
        <v>264907.39726027398</v>
      </c>
      <c r="K46" s="32">
        <f>J46*5%</f>
        <v>13245.369863013701</v>
      </c>
      <c r="L46" s="32">
        <v>3000</v>
      </c>
      <c r="M46" s="32">
        <f>SUM(J46:L46)</f>
        <v>281152.76712328766</v>
      </c>
      <c r="N46" t="s">
        <v>193</v>
      </c>
      <c r="O46" t="s">
        <v>27</v>
      </c>
    </row>
    <row r="47" spans="1:15" ht="15.75" customHeight="1">
      <c r="A47" s="27" t="s">
        <v>55</v>
      </c>
      <c r="B47" s="27" t="s">
        <v>28</v>
      </c>
      <c r="C47" s="27" t="s">
        <v>242</v>
      </c>
      <c r="D47" s="28">
        <v>45315</v>
      </c>
      <c r="E47" s="29" t="str">
        <f>TEXT(D47,"mmmm")</f>
        <v>January</v>
      </c>
      <c r="F47" s="18">
        <f>YEAR(D47)</f>
        <v>2024</v>
      </c>
      <c r="G47" s="29">
        <v>45570</v>
      </c>
      <c r="H47" s="30">
        <f>G47-D47+1</f>
        <v>256</v>
      </c>
      <c r="I47" s="32">
        <v>377700</v>
      </c>
      <c r="J47" s="32">
        <f>I47*H47/365</f>
        <v>264907.39726027398</v>
      </c>
      <c r="K47" s="32">
        <f>J47*5%</f>
        <v>13245.369863013701</v>
      </c>
      <c r="L47" s="32">
        <v>6000</v>
      </c>
      <c r="M47" s="32">
        <f>SUM(J47:L47)</f>
        <v>284152.76712328766</v>
      </c>
      <c r="N47" t="s">
        <v>193</v>
      </c>
      <c r="O47" t="s">
        <v>27</v>
      </c>
    </row>
    <row r="48" spans="1:15" ht="15.75" customHeight="1">
      <c r="A48" s="27" t="s">
        <v>55</v>
      </c>
      <c r="B48" s="27" t="s">
        <v>28</v>
      </c>
      <c r="C48" s="27" t="s">
        <v>243</v>
      </c>
      <c r="D48" s="28">
        <v>45315</v>
      </c>
      <c r="E48" s="29" t="str">
        <f>TEXT(D48,"mmmm")</f>
        <v>January</v>
      </c>
      <c r="F48" s="18">
        <f>YEAR(D48)</f>
        <v>2024</v>
      </c>
      <c r="G48" s="29">
        <v>45570</v>
      </c>
      <c r="H48" s="30">
        <f>G48-D48+1</f>
        <v>256</v>
      </c>
      <c r="I48" s="32">
        <v>377700</v>
      </c>
      <c r="J48" s="32">
        <f>I48*H48/365</f>
        <v>264907.39726027398</v>
      </c>
      <c r="K48" s="32">
        <f>J48*5%</f>
        <v>13245.369863013701</v>
      </c>
      <c r="L48" s="32">
        <v>3000</v>
      </c>
      <c r="M48" s="32">
        <f>SUM(J48:L48)</f>
        <v>281152.76712328766</v>
      </c>
      <c r="N48" t="s">
        <v>193</v>
      </c>
      <c r="O48" t="s">
        <v>27</v>
      </c>
    </row>
    <row r="49" spans="1:15" ht="15.75" customHeight="1">
      <c r="A49" s="27" t="s">
        <v>55</v>
      </c>
      <c r="B49" s="27" t="s">
        <v>28</v>
      </c>
      <c r="C49" s="27" t="s">
        <v>244</v>
      </c>
      <c r="D49" s="28">
        <v>45315</v>
      </c>
      <c r="E49" s="29" t="str">
        <f>TEXT(D49,"mmmm")</f>
        <v>January</v>
      </c>
      <c r="F49" s="18">
        <f>YEAR(D49)</f>
        <v>2024</v>
      </c>
      <c r="G49" s="29">
        <v>45570</v>
      </c>
      <c r="H49" s="30">
        <f>G49-D49+1</f>
        <v>256</v>
      </c>
      <c r="I49" s="32">
        <v>377700</v>
      </c>
      <c r="J49" s="32">
        <f>I49*H49/365</f>
        <v>264907.39726027398</v>
      </c>
      <c r="K49" s="32">
        <f>J49*5%</f>
        <v>13245.369863013701</v>
      </c>
      <c r="L49" s="32">
        <v>3000</v>
      </c>
      <c r="M49" s="32">
        <f>SUM(J49:L49)</f>
        <v>281152.76712328766</v>
      </c>
      <c r="N49" t="s">
        <v>193</v>
      </c>
      <c r="O49" t="s">
        <v>27</v>
      </c>
    </row>
    <row r="50" spans="1:15" ht="15.75" customHeight="1">
      <c r="A50" s="27" t="s">
        <v>55</v>
      </c>
      <c r="B50" s="27" t="s">
        <v>28</v>
      </c>
      <c r="C50" s="27" t="s">
        <v>245</v>
      </c>
      <c r="D50" s="28">
        <v>45316</v>
      </c>
      <c r="E50" s="29" t="str">
        <f>TEXT(D50,"mmmm")</f>
        <v>January</v>
      </c>
      <c r="F50" s="18">
        <f>YEAR(D50)</f>
        <v>2024</v>
      </c>
      <c r="G50" s="29">
        <v>45570</v>
      </c>
      <c r="H50" s="30">
        <f>G50-D50+1</f>
        <v>255</v>
      </c>
      <c r="I50" s="32">
        <v>377700</v>
      </c>
      <c r="J50" s="32">
        <f>I50*H50/365</f>
        <v>263872.60273972602</v>
      </c>
      <c r="K50" s="32">
        <f>J50*5%</f>
        <v>13193.630136986301</v>
      </c>
      <c r="L50" s="32">
        <v>3000</v>
      </c>
      <c r="M50" s="32">
        <f>SUM(J50:L50)</f>
        <v>280066.23287671234</v>
      </c>
      <c r="N50" t="s">
        <v>193</v>
      </c>
      <c r="O50" t="s">
        <v>27</v>
      </c>
    </row>
    <row r="51" spans="1:15" ht="15.75" customHeight="1">
      <c r="A51" s="27" t="s">
        <v>55</v>
      </c>
      <c r="B51" s="27" t="s">
        <v>28</v>
      </c>
      <c r="C51" s="27" t="s">
        <v>246</v>
      </c>
      <c r="D51" s="28">
        <v>45316</v>
      </c>
      <c r="E51" s="29" t="str">
        <f>TEXT(D51,"mmmm")</f>
        <v>January</v>
      </c>
      <c r="F51" s="18">
        <f>YEAR(D51)</f>
        <v>2024</v>
      </c>
      <c r="G51" s="29">
        <v>45570</v>
      </c>
      <c r="H51" s="30">
        <f>G51-D51+1</f>
        <v>255</v>
      </c>
      <c r="I51" s="32">
        <v>377700</v>
      </c>
      <c r="J51" s="32">
        <f>I51*H51/365</f>
        <v>263872.60273972602</v>
      </c>
      <c r="K51" s="32">
        <f>J51*5%</f>
        <v>13193.630136986301</v>
      </c>
      <c r="L51" s="32">
        <v>3000</v>
      </c>
      <c r="M51" s="32">
        <f>SUM(J51:L51)</f>
        <v>280066.23287671234</v>
      </c>
      <c r="N51" t="s">
        <v>193</v>
      </c>
      <c r="O51" t="s">
        <v>27</v>
      </c>
    </row>
    <row r="52" spans="1:15" ht="15.75" customHeight="1">
      <c r="A52" s="27" t="s">
        <v>47</v>
      </c>
      <c r="B52" s="27" t="s">
        <v>40</v>
      </c>
      <c r="C52" s="27" t="s">
        <v>267</v>
      </c>
      <c r="D52" s="28">
        <v>45321</v>
      </c>
      <c r="E52" s="29" t="str">
        <f>TEXT(D52,"mmmm")</f>
        <v>January</v>
      </c>
      <c r="F52" s="18">
        <f>YEAR(D52)</f>
        <v>2024</v>
      </c>
      <c r="G52" s="29">
        <v>45494</v>
      </c>
      <c r="H52" s="30">
        <f>G52-D52+1</f>
        <v>174</v>
      </c>
      <c r="I52" s="32">
        <v>867136</v>
      </c>
      <c r="J52" s="32">
        <f>I52*H52/365</f>
        <v>413374.42191780824</v>
      </c>
      <c r="K52" s="32">
        <f>J52*5%</f>
        <v>20668.721095890414</v>
      </c>
      <c r="L52" s="32">
        <v>10000</v>
      </c>
      <c r="M52" s="32">
        <f>SUM(J52:L52)</f>
        <v>444043.14301369863</v>
      </c>
      <c r="N52" t="s">
        <v>193</v>
      </c>
      <c r="O52" t="s">
        <v>27</v>
      </c>
    </row>
    <row r="53" spans="1:15" ht="15.75" customHeight="1">
      <c r="A53" s="27" t="s">
        <v>55</v>
      </c>
      <c r="B53" s="27" t="s">
        <v>28</v>
      </c>
      <c r="C53" s="27" t="s">
        <v>247</v>
      </c>
      <c r="D53" s="28">
        <v>45322</v>
      </c>
      <c r="E53" s="29" t="str">
        <f>TEXT(D53,"mmmm")</f>
        <v>January</v>
      </c>
      <c r="F53" s="18">
        <f>YEAR(D53)</f>
        <v>2024</v>
      </c>
      <c r="G53" s="29">
        <v>45570</v>
      </c>
      <c r="H53" s="30">
        <f>G53-D53+1</f>
        <v>249</v>
      </c>
      <c r="I53" s="32">
        <v>377700</v>
      </c>
      <c r="J53" s="32">
        <f>I53*H53/365</f>
        <v>257663.83561643836</v>
      </c>
      <c r="K53" s="32">
        <f>J53*5%</f>
        <v>12883.191780821919</v>
      </c>
      <c r="L53" s="32">
        <v>3000</v>
      </c>
      <c r="M53" s="32">
        <f>SUM(J53:L53)</f>
        <v>273547.0273972603</v>
      </c>
      <c r="N53" t="s">
        <v>193</v>
      </c>
      <c r="O53" t="s">
        <v>27</v>
      </c>
    </row>
    <row r="54" spans="1:15" ht="15.75" customHeight="1">
      <c r="A54" s="27" t="s">
        <v>55</v>
      </c>
      <c r="B54" s="27" t="s">
        <v>28</v>
      </c>
      <c r="C54" s="27" t="s">
        <v>248</v>
      </c>
      <c r="D54" s="28">
        <v>45322</v>
      </c>
      <c r="E54" s="29" t="str">
        <f>TEXT(D54,"mmmm")</f>
        <v>January</v>
      </c>
      <c r="F54" s="18">
        <f>YEAR(D54)</f>
        <v>2024</v>
      </c>
      <c r="G54" s="29">
        <v>45570</v>
      </c>
      <c r="H54" s="30">
        <f>G54-D54+1</f>
        <v>249</v>
      </c>
      <c r="I54" s="32">
        <v>377700</v>
      </c>
      <c r="J54" s="32">
        <f>I54*H54/365</f>
        <v>257663.83561643836</v>
      </c>
      <c r="K54" s="32">
        <f>J54*5%</f>
        <v>12883.191780821919</v>
      </c>
      <c r="L54" s="32">
        <v>3000</v>
      </c>
      <c r="M54" s="32">
        <f>SUM(J54:L54)</f>
        <v>273547.0273972603</v>
      </c>
      <c r="N54" t="s">
        <v>193</v>
      </c>
      <c r="O54" t="s">
        <v>27</v>
      </c>
    </row>
    <row r="55" spans="1:15" ht="15.75" customHeight="1">
      <c r="A55" s="27" t="s">
        <v>213</v>
      </c>
      <c r="B55" s="27" t="s">
        <v>28</v>
      </c>
      <c r="C55" s="27" t="s">
        <v>214</v>
      </c>
      <c r="D55" s="28">
        <v>45323</v>
      </c>
      <c r="E55" s="29" t="str">
        <f>TEXT(D55,"mmmm")</f>
        <v>February</v>
      </c>
      <c r="F55" s="18">
        <f>YEAR(D55)</f>
        <v>2024</v>
      </c>
      <c r="G55" s="29">
        <v>45570</v>
      </c>
      <c r="H55" s="30">
        <v>0</v>
      </c>
      <c r="I55" s="32">
        <v>18129600</v>
      </c>
      <c r="J55" s="32">
        <v>16016549.589041101</v>
      </c>
      <c r="K55" s="32">
        <f>J55*5%</f>
        <v>800827.47945205506</v>
      </c>
      <c r="L55" s="32">
        <v>171000</v>
      </c>
      <c r="M55" s="32">
        <f>SUM(J55:L55)</f>
        <v>16988377.068493158</v>
      </c>
      <c r="N55" t="s">
        <v>193</v>
      </c>
      <c r="O55" t="s">
        <v>27</v>
      </c>
    </row>
    <row r="56" spans="1:15" ht="15.75" customHeight="1">
      <c r="A56" s="27" t="s">
        <v>208</v>
      </c>
      <c r="B56" s="27" t="s">
        <v>34</v>
      </c>
      <c r="C56" s="27" t="s">
        <v>209</v>
      </c>
      <c r="D56" s="28">
        <v>45324</v>
      </c>
      <c r="E56" s="29" t="str">
        <f>TEXT(D56,"mmmm")</f>
        <v>February</v>
      </c>
      <c r="F56" s="18">
        <f>YEAR(D56)</f>
        <v>2024</v>
      </c>
      <c r="G56" s="29">
        <v>45652</v>
      </c>
      <c r="H56" s="30">
        <f>G56-D56+1</f>
        <v>329</v>
      </c>
      <c r="I56" s="32">
        <v>1427529</v>
      </c>
      <c r="J56" s="32">
        <f>I56*H56/365</f>
        <v>1286731.6191780821</v>
      </c>
      <c r="K56" s="32">
        <f>J56*5%</f>
        <v>64336.580958904109</v>
      </c>
      <c r="L56" s="32">
        <v>60000</v>
      </c>
      <c r="M56" s="32">
        <f>SUM(J56:L56)</f>
        <v>1411068.2001369861</v>
      </c>
      <c r="N56" t="s">
        <v>193</v>
      </c>
      <c r="O56" t="s">
        <v>27</v>
      </c>
    </row>
    <row r="57" spans="1:15" ht="15.75" customHeight="1">
      <c r="A57" s="27" t="s">
        <v>208</v>
      </c>
      <c r="B57" s="27" t="s">
        <v>34</v>
      </c>
      <c r="C57" s="27" t="s">
        <v>210</v>
      </c>
      <c r="D57" s="28">
        <v>45324</v>
      </c>
      <c r="E57" s="29" t="str">
        <f>TEXT(D57,"mmmm")</f>
        <v>February</v>
      </c>
      <c r="F57" s="18">
        <f>YEAR(D57)</f>
        <v>2024</v>
      </c>
      <c r="G57" s="29">
        <v>45652</v>
      </c>
      <c r="H57" s="30">
        <f>G57-D57+1</f>
        <v>329</v>
      </c>
      <c r="I57" s="32">
        <v>1427529</v>
      </c>
      <c r="J57" s="32">
        <f>I57*H57/365</f>
        <v>1286731.6191780821</v>
      </c>
      <c r="K57" s="32">
        <f>J57*5%</f>
        <v>64336.580958904109</v>
      </c>
      <c r="L57" s="32">
        <v>60000</v>
      </c>
      <c r="M57" s="32">
        <f>SUM(J57:L57)</f>
        <v>1411068.2001369861</v>
      </c>
      <c r="N57" t="s">
        <v>193</v>
      </c>
      <c r="O57" t="s">
        <v>27</v>
      </c>
    </row>
    <row r="58" spans="1:15" ht="15.75" customHeight="1">
      <c r="A58" s="27" t="s">
        <v>55</v>
      </c>
      <c r="B58" s="27" t="s">
        <v>28</v>
      </c>
      <c r="C58" s="27" t="s">
        <v>249</v>
      </c>
      <c r="D58" s="28">
        <v>45324</v>
      </c>
      <c r="E58" s="29" t="str">
        <f>TEXT(D58,"mmmm")</f>
        <v>February</v>
      </c>
      <c r="F58" s="18">
        <f>YEAR(D58)</f>
        <v>2024</v>
      </c>
      <c r="G58" s="29">
        <v>45570</v>
      </c>
      <c r="H58" s="30">
        <f>G58-D58+1</f>
        <v>247</v>
      </c>
      <c r="I58" s="32">
        <v>377700</v>
      </c>
      <c r="J58" s="32">
        <f>I58*H58/365</f>
        <v>255594.24657534246</v>
      </c>
      <c r="K58" s="32">
        <f>J58*5%</f>
        <v>12779.712328767124</v>
      </c>
      <c r="L58" s="32">
        <v>3000</v>
      </c>
      <c r="M58" s="32">
        <f>SUM(J58:L58)</f>
        <v>271373.9589041096</v>
      </c>
      <c r="N58" t="s">
        <v>193</v>
      </c>
      <c r="O58" t="s">
        <v>27</v>
      </c>
    </row>
    <row r="59" spans="1:15" ht="15.75" customHeight="1">
      <c r="A59" s="27" t="s">
        <v>55</v>
      </c>
      <c r="B59" s="27" t="s">
        <v>28</v>
      </c>
      <c r="C59" s="27" t="s">
        <v>250</v>
      </c>
      <c r="D59" s="28">
        <v>45324</v>
      </c>
      <c r="E59" s="29" t="str">
        <f>TEXT(D59,"mmmm")</f>
        <v>February</v>
      </c>
      <c r="F59" s="18">
        <f>YEAR(D59)</f>
        <v>2024</v>
      </c>
      <c r="G59" s="29">
        <v>45570</v>
      </c>
      <c r="H59" s="30">
        <f>G59-D59+1</f>
        <v>247</v>
      </c>
      <c r="I59" s="32">
        <v>377700</v>
      </c>
      <c r="J59" s="32">
        <f>I59*H59/365</f>
        <v>255594.24657534246</v>
      </c>
      <c r="K59" s="32">
        <f>J59*5%</f>
        <v>12779.712328767124</v>
      </c>
      <c r="L59" s="32">
        <v>3000</v>
      </c>
      <c r="M59" s="32">
        <f>SUM(J59:L59)</f>
        <v>271373.9589041096</v>
      </c>
      <c r="N59" t="s">
        <v>193</v>
      </c>
      <c r="O59" t="s">
        <v>27</v>
      </c>
    </row>
    <row r="60" spans="1:15" ht="15.75" customHeight="1">
      <c r="A60" s="27" t="s">
        <v>55</v>
      </c>
      <c r="B60" s="27" t="s">
        <v>28</v>
      </c>
      <c r="C60" s="27" t="s">
        <v>251</v>
      </c>
      <c r="D60" s="28">
        <v>45324</v>
      </c>
      <c r="E60" s="29" t="str">
        <f>TEXT(D60,"mmmm")</f>
        <v>February</v>
      </c>
      <c r="F60" s="18">
        <f>YEAR(D60)</f>
        <v>2024</v>
      </c>
      <c r="G60" s="29">
        <v>45570</v>
      </c>
      <c r="H60" s="30">
        <f>G60-D60+1</f>
        <v>247</v>
      </c>
      <c r="I60" s="32">
        <v>377700</v>
      </c>
      <c r="J60" s="32">
        <f>I60*H60/365</f>
        <v>255594.24657534246</v>
      </c>
      <c r="K60" s="32">
        <f>J60*5%</f>
        <v>12779.712328767124</v>
      </c>
      <c r="L60" s="32">
        <v>6000</v>
      </c>
      <c r="M60" s="32">
        <f>SUM(J60:L60)</f>
        <v>274373.9589041096</v>
      </c>
      <c r="N60" t="s">
        <v>193</v>
      </c>
      <c r="O60" t="s">
        <v>27</v>
      </c>
    </row>
    <row r="61" spans="1:15" ht="15.75" customHeight="1">
      <c r="A61" s="27" t="s">
        <v>55</v>
      </c>
      <c r="B61" s="27" t="s">
        <v>28</v>
      </c>
      <c r="C61" s="27" t="s">
        <v>252</v>
      </c>
      <c r="D61" s="28">
        <v>45324</v>
      </c>
      <c r="E61" s="29" t="str">
        <f>TEXT(D61,"mmmm")</f>
        <v>February</v>
      </c>
      <c r="F61" s="18">
        <f>YEAR(D61)</f>
        <v>2024</v>
      </c>
      <c r="G61" s="29">
        <v>45570</v>
      </c>
      <c r="H61" s="30">
        <f>G61-D61+1</f>
        <v>247</v>
      </c>
      <c r="I61" s="32">
        <v>377700</v>
      </c>
      <c r="J61" s="32">
        <f>I61*H61/365</f>
        <v>255594.24657534246</v>
      </c>
      <c r="K61" s="32">
        <f>J61*5%</f>
        <v>12779.712328767124</v>
      </c>
      <c r="L61" s="32">
        <v>3000</v>
      </c>
      <c r="M61" s="32">
        <f>SUM(J61:L61)</f>
        <v>271373.9589041096</v>
      </c>
      <c r="N61" t="s">
        <v>193</v>
      </c>
      <c r="O61" t="s">
        <v>27</v>
      </c>
    </row>
    <row r="62" spans="1:15" ht="15.75" customHeight="1">
      <c r="A62" s="27" t="s">
        <v>55</v>
      </c>
      <c r="B62" s="27" t="s">
        <v>28</v>
      </c>
      <c r="C62" s="27" t="s">
        <v>253</v>
      </c>
      <c r="D62" s="28">
        <v>45324</v>
      </c>
      <c r="E62" s="29" t="str">
        <f>TEXT(D62,"mmmm")</f>
        <v>February</v>
      </c>
      <c r="F62" s="18">
        <f>YEAR(D62)</f>
        <v>2024</v>
      </c>
      <c r="G62" s="29">
        <v>45570</v>
      </c>
      <c r="H62" s="30">
        <f>G62-D62+1</f>
        <v>247</v>
      </c>
      <c r="I62" s="32">
        <v>377700</v>
      </c>
      <c r="J62" s="32">
        <f>I62*H62/365</f>
        <v>255594.24657534246</v>
      </c>
      <c r="K62" s="32">
        <f>J62*5%</f>
        <v>12779.712328767124</v>
      </c>
      <c r="L62" s="32">
        <v>3000</v>
      </c>
      <c r="M62" s="32">
        <f>SUM(J62:L62)</f>
        <v>271373.9589041096</v>
      </c>
      <c r="N62" t="s">
        <v>193</v>
      </c>
      <c r="O62" t="s">
        <v>27</v>
      </c>
    </row>
    <row r="63" spans="1:15" ht="15.75" customHeight="1">
      <c r="A63" s="27" t="s">
        <v>55</v>
      </c>
      <c r="B63" s="27" t="s">
        <v>28</v>
      </c>
      <c r="C63" s="27" t="s">
        <v>254</v>
      </c>
      <c r="D63" s="28">
        <v>45324</v>
      </c>
      <c r="E63" s="29" t="str">
        <f>TEXT(D63,"mmmm")</f>
        <v>February</v>
      </c>
      <c r="F63" s="18">
        <f>YEAR(D63)</f>
        <v>2024</v>
      </c>
      <c r="G63" s="29">
        <v>45570</v>
      </c>
      <c r="H63" s="30">
        <f>G63-D63+1</f>
        <v>247</v>
      </c>
      <c r="I63" s="32">
        <v>377700</v>
      </c>
      <c r="J63" s="32">
        <f>I63*H63/365</f>
        <v>255594.24657534246</v>
      </c>
      <c r="K63" s="32">
        <f>J63*5%</f>
        <v>12779.712328767124</v>
      </c>
      <c r="L63" s="32">
        <v>3000</v>
      </c>
      <c r="M63" s="32">
        <f>SUM(J63:L63)</f>
        <v>271373.9589041096</v>
      </c>
      <c r="N63" t="s">
        <v>193</v>
      </c>
      <c r="O63" t="s">
        <v>27</v>
      </c>
    </row>
    <row r="64" spans="1:15" ht="15.75" customHeight="1">
      <c r="A64" s="27" t="s">
        <v>55</v>
      </c>
      <c r="B64" s="27" t="s">
        <v>28</v>
      </c>
      <c r="C64" s="27" t="s">
        <v>255</v>
      </c>
      <c r="D64" s="28">
        <v>45324</v>
      </c>
      <c r="E64" s="29" t="str">
        <f>TEXT(D64,"mmmm")</f>
        <v>February</v>
      </c>
      <c r="F64" s="18">
        <f>YEAR(D64)</f>
        <v>2024</v>
      </c>
      <c r="G64" s="29">
        <v>45570</v>
      </c>
      <c r="H64" s="30">
        <f>G64-D64+1</f>
        <v>247</v>
      </c>
      <c r="I64" s="32">
        <v>377700</v>
      </c>
      <c r="J64" s="32">
        <f>I64*H64/365</f>
        <v>255594.24657534246</v>
      </c>
      <c r="K64" s="32">
        <f>J64*5%</f>
        <v>12779.712328767124</v>
      </c>
      <c r="L64" s="32">
        <v>3000</v>
      </c>
      <c r="M64" s="32">
        <f>SUM(J64:L64)</f>
        <v>271373.9589041096</v>
      </c>
      <c r="N64" t="s">
        <v>193</v>
      </c>
      <c r="O64" t="s">
        <v>27</v>
      </c>
    </row>
    <row r="65" spans="1:15" ht="15.75" customHeight="1">
      <c r="A65" s="27" t="s">
        <v>55</v>
      </c>
      <c r="B65" s="27" t="s">
        <v>28</v>
      </c>
      <c r="C65" s="27" t="s">
        <v>256</v>
      </c>
      <c r="D65" s="28">
        <v>45329</v>
      </c>
      <c r="E65" s="29" t="str">
        <f>TEXT(D65,"mmmm")</f>
        <v>February</v>
      </c>
      <c r="F65" s="18">
        <f>YEAR(D65)</f>
        <v>2024</v>
      </c>
      <c r="G65" s="29">
        <v>45570</v>
      </c>
      <c r="H65" s="30">
        <f>G65-D65+1</f>
        <v>242</v>
      </c>
      <c r="I65" s="32">
        <v>377700</v>
      </c>
      <c r="J65" s="32">
        <f>I65*H65/365</f>
        <v>250420.27397260274</v>
      </c>
      <c r="K65" s="32">
        <f>J65*5%</f>
        <v>12521.013698630137</v>
      </c>
      <c r="L65" s="32">
        <v>3000</v>
      </c>
      <c r="M65" s="32">
        <f>SUM(J65:L65)</f>
        <v>265941.28767123289</v>
      </c>
      <c r="N65" t="s">
        <v>193</v>
      </c>
      <c r="O65" t="s">
        <v>27</v>
      </c>
    </row>
    <row r="66" spans="1:15" ht="15.75" customHeight="1">
      <c r="A66" s="27" t="s">
        <v>55</v>
      </c>
      <c r="B66" s="27" t="s">
        <v>28</v>
      </c>
      <c r="C66" s="27" t="s">
        <v>257</v>
      </c>
      <c r="D66" s="28">
        <v>45329</v>
      </c>
      <c r="E66" s="29" t="str">
        <f>TEXT(D66,"mmmm")</f>
        <v>February</v>
      </c>
      <c r="F66" s="18">
        <f>YEAR(D66)</f>
        <v>2024</v>
      </c>
      <c r="G66" s="29">
        <v>45570</v>
      </c>
      <c r="H66" s="30">
        <f>G66-D66+1</f>
        <v>242</v>
      </c>
      <c r="I66" s="32">
        <v>377700</v>
      </c>
      <c r="J66" s="32">
        <f>I66*H66/365</f>
        <v>250420.27397260274</v>
      </c>
      <c r="K66" s="32">
        <f>J66*5%</f>
        <v>12521.013698630137</v>
      </c>
      <c r="L66" s="32">
        <v>3000</v>
      </c>
      <c r="M66" s="32">
        <f>SUM(J66:L66)</f>
        <v>265941.28767123289</v>
      </c>
      <c r="N66" t="s">
        <v>193</v>
      </c>
      <c r="O66" t="s">
        <v>27</v>
      </c>
    </row>
    <row r="67" spans="1:15" ht="15.75" customHeight="1">
      <c r="A67" s="27" t="s">
        <v>55</v>
      </c>
      <c r="B67" s="27" t="s">
        <v>28</v>
      </c>
      <c r="C67" s="27" t="s">
        <v>258</v>
      </c>
      <c r="D67" s="28">
        <v>45329</v>
      </c>
      <c r="E67" s="29" t="str">
        <f>TEXT(D67,"mmmm")</f>
        <v>February</v>
      </c>
      <c r="F67" s="18">
        <f>YEAR(D67)</f>
        <v>2024</v>
      </c>
      <c r="G67" s="29">
        <v>45570</v>
      </c>
      <c r="H67" s="30">
        <f>G67-D67+1</f>
        <v>242</v>
      </c>
      <c r="I67" s="32">
        <v>377700</v>
      </c>
      <c r="J67" s="32">
        <f>I67*H67/365</f>
        <v>250420.27397260274</v>
      </c>
      <c r="K67" s="32">
        <f>J67*5%</f>
        <v>12521.013698630137</v>
      </c>
      <c r="L67" s="32">
        <v>3000</v>
      </c>
      <c r="M67" s="32">
        <f>SUM(J67:L67)</f>
        <v>265941.28767123289</v>
      </c>
      <c r="N67" t="s">
        <v>193</v>
      </c>
      <c r="O67" t="s">
        <v>27</v>
      </c>
    </row>
    <row r="68" spans="1:15" ht="15.75" customHeight="1">
      <c r="A68" s="27" t="s">
        <v>55</v>
      </c>
      <c r="B68" s="27" t="s">
        <v>28</v>
      </c>
      <c r="C68" s="27" t="s">
        <v>259</v>
      </c>
      <c r="D68" s="28">
        <v>45329</v>
      </c>
      <c r="E68" s="29" t="str">
        <f>TEXT(D68,"mmmm")</f>
        <v>February</v>
      </c>
      <c r="F68" s="18">
        <f>YEAR(D68)</f>
        <v>2024</v>
      </c>
      <c r="G68" s="29">
        <v>45570</v>
      </c>
      <c r="H68" s="30">
        <f>G68-D68+1</f>
        <v>242</v>
      </c>
      <c r="I68" s="32">
        <v>377700</v>
      </c>
      <c r="J68" s="32">
        <f>I68*H68/365</f>
        <v>250420.27397260274</v>
      </c>
      <c r="K68" s="32">
        <f>J68*5%</f>
        <v>12521.013698630137</v>
      </c>
      <c r="L68" s="32">
        <v>3000</v>
      </c>
      <c r="M68" s="32">
        <f>SUM(J68:L68)</f>
        <v>265941.28767123289</v>
      </c>
      <c r="N68" t="s">
        <v>193</v>
      </c>
      <c r="O68" t="s">
        <v>27</v>
      </c>
    </row>
    <row r="69" spans="1:15" ht="15.75" customHeight="1">
      <c r="A69" s="27" t="s">
        <v>55</v>
      </c>
      <c r="B69" s="27" t="s">
        <v>28</v>
      </c>
      <c r="C69" s="27" t="s">
        <v>260</v>
      </c>
      <c r="D69" s="28">
        <v>45329</v>
      </c>
      <c r="E69" s="29" t="str">
        <f>TEXT(D69,"mmmm")</f>
        <v>February</v>
      </c>
      <c r="F69" s="18">
        <f>YEAR(D69)</f>
        <v>2024</v>
      </c>
      <c r="G69" s="29">
        <v>45570</v>
      </c>
      <c r="H69" s="30">
        <f>G69-D69+1</f>
        <v>242</v>
      </c>
      <c r="I69" s="32">
        <v>377700</v>
      </c>
      <c r="J69" s="32">
        <f>I69*H69/365</f>
        <v>250420.27397260274</v>
      </c>
      <c r="K69" s="32">
        <f>J69*5%</f>
        <v>12521.013698630137</v>
      </c>
      <c r="L69" s="32">
        <v>3000</v>
      </c>
      <c r="M69" s="32">
        <f>SUM(J69:L69)</f>
        <v>265941.28767123289</v>
      </c>
      <c r="N69" t="s">
        <v>193</v>
      </c>
      <c r="O69" t="s">
        <v>27</v>
      </c>
    </row>
    <row r="70" spans="1:15" ht="15.75" customHeight="1">
      <c r="A70" s="27" t="s">
        <v>55</v>
      </c>
      <c r="B70" s="27" t="s">
        <v>28</v>
      </c>
      <c r="C70" s="27" t="s">
        <v>261</v>
      </c>
      <c r="D70" s="28">
        <v>45329</v>
      </c>
      <c r="E70" s="29" t="str">
        <f>TEXT(D70,"mmmm")</f>
        <v>February</v>
      </c>
      <c r="F70" s="18">
        <f>YEAR(D70)</f>
        <v>2024</v>
      </c>
      <c r="G70" s="29">
        <v>45570</v>
      </c>
      <c r="H70" s="30">
        <f>G70-D70+1</f>
        <v>242</v>
      </c>
      <c r="I70" s="32">
        <v>377700</v>
      </c>
      <c r="J70" s="32">
        <f>I70*H70/365</f>
        <v>250420.27397260274</v>
      </c>
      <c r="K70" s="32">
        <f>J70*5%</f>
        <v>12521.013698630137</v>
      </c>
      <c r="L70" s="32">
        <v>3000</v>
      </c>
      <c r="M70" s="32">
        <f>SUM(J70:L70)</f>
        <v>265941.28767123289</v>
      </c>
      <c r="N70" t="s">
        <v>193</v>
      </c>
      <c r="O70" t="s">
        <v>27</v>
      </c>
    </row>
    <row r="71" spans="1:15" ht="15.75" customHeight="1">
      <c r="A71" s="27" t="s">
        <v>55</v>
      </c>
      <c r="B71" s="27" t="s">
        <v>28</v>
      </c>
      <c r="C71" s="27" t="s">
        <v>262</v>
      </c>
      <c r="D71" s="28">
        <v>45329</v>
      </c>
      <c r="E71" s="29" t="str">
        <f>TEXT(D71,"mmmm")</f>
        <v>February</v>
      </c>
      <c r="F71" s="18">
        <f>YEAR(D71)</f>
        <v>2024</v>
      </c>
      <c r="G71" s="29">
        <v>45570</v>
      </c>
      <c r="H71" s="30">
        <f>G71-D71+1</f>
        <v>242</v>
      </c>
      <c r="I71" s="32">
        <v>377700</v>
      </c>
      <c r="J71" s="32">
        <f>I71*H71/365</f>
        <v>250420.27397260274</v>
      </c>
      <c r="K71" s="32">
        <f>J71*5%</f>
        <v>12521.013698630137</v>
      </c>
      <c r="L71" s="32">
        <v>3000</v>
      </c>
      <c r="M71" s="32">
        <f>SUM(J71:L71)</f>
        <v>265941.28767123289</v>
      </c>
      <c r="N71" t="s">
        <v>193</v>
      </c>
      <c r="O71" t="s">
        <v>27</v>
      </c>
    </row>
    <row r="72" spans="1:15" ht="15.75" customHeight="1">
      <c r="A72" s="27" t="s">
        <v>55</v>
      </c>
      <c r="B72" s="27" t="s">
        <v>28</v>
      </c>
      <c r="C72" s="27" t="s">
        <v>263</v>
      </c>
      <c r="D72" s="28">
        <v>45329</v>
      </c>
      <c r="E72" s="29" t="str">
        <f>TEXT(D72,"mmmm")</f>
        <v>February</v>
      </c>
      <c r="F72" s="18">
        <f>YEAR(D72)</f>
        <v>2024</v>
      </c>
      <c r="G72" s="29">
        <v>45570</v>
      </c>
      <c r="H72" s="30">
        <f>G72-D72+1</f>
        <v>242</v>
      </c>
      <c r="I72" s="32">
        <v>377700</v>
      </c>
      <c r="J72" s="32">
        <f>I72*H72/365</f>
        <v>250420.27397260274</v>
      </c>
      <c r="K72" s="32">
        <f>J72*5%</f>
        <v>12521.013698630137</v>
      </c>
      <c r="L72" s="32">
        <v>3000</v>
      </c>
      <c r="M72" s="32">
        <f>SUM(J72:L72)</f>
        <v>265941.28767123289</v>
      </c>
      <c r="N72" t="s">
        <v>193</v>
      </c>
      <c r="O72" t="s">
        <v>27</v>
      </c>
    </row>
    <row r="73" spans="1:15" ht="15.75" customHeight="1">
      <c r="A73" s="27" t="s">
        <v>55</v>
      </c>
      <c r="B73" s="27" t="s">
        <v>28</v>
      </c>
      <c r="C73" s="27" t="s">
        <v>264</v>
      </c>
      <c r="D73" s="28">
        <v>45329</v>
      </c>
      <c r="E73" s="29" t="str">
        <f>TEXT(D73,"mmmm")</f>
        <v>February</v>
      </c>
      <c r="F73" s="18">
        <f>YEAR(D73)</f>
        <v>2024</v>
      </c>
      <c r="G73" s="29">
        <v>45570</v>
      </c>
      <c r="H73" s="30">
        <f>G73-D73+1</f>
        <v>242</v>
      </c>
      <c r="I73" s="32">
        <v>377700</v>
      </c>
      <c r="J73" s="32">
        <f>I73*H73/365</f>
        <v>250420.27397260274</v>
      </c>
      <c r="K73" s="32">
        <f>J73*5%</f>
        <v>12521.013698630137</v>
      </c>
      <c r="L73" s="32">
        <v>3000</v>
      </c>
      <c r="M73" s="32">
        <f>SUM(J73:L73)</f>
        <v>265941.28767123289</v>
      </c>
      <c r="N73" t="s">
        <v>193</v>
      </c>
      <c r="O73" t="s">
        <v>27</v>
      </c>
    </row>
    <row r="74" spans="1:15" ht="15.75" customHeight="1">
      <c r="A74" s="27" t="s">
        <v>55</v>
      </c>
      <c r="B74" s="27" t="s">
        <v>28</v>
      </c>
      <c r="C74" s="27" t="s">
        <v>265</v>
      </c>
      <c r="D74" s="28">
        <v>45329</v>
      </c>
      <c r="E74" s="29" t="str">
        <f>TEXT(D74,"mmmm")</f>
        <v>February</v>
      </c>
      <c r="F74" s="18">
        <f>YEAR(D74)</f>
        <v>2024</v>
      </c>
      <c r="G74" s="29">
        <v>45570</v>
      </c>
      <c r="H74" s="30">
        <f>G74-D74+1</f>
        <v>242</v>
      </c>
      <c r="I74" s="32">
        <v>377700</v>
      </c>
      <c r="J74" s="32">
        <f>I74*H74/365</f>
        <v>250420.27397260274</v>
      </c>
      <c r="K74" s="32">
        <f>J74*5%</f>
        <v>12521.013698630137</v>
      </c>
      <c r="L74" s="32">
        <v>3000</v>
      </c>
      <c r="M74" s="32">
        <f>SUM(J74:L74)</f>
        <v>265941.28767123289</v>
      </c>
      <c r="N74" t="s">
        <v>193</v>
      </c>
      <c r="O74" t="s">
        <v>27</v>
      </c>
    </row>
    <row r="75" spans="1:15" ht="15.75" customHeight="1">
      <c r="A75" s="27" t="s">
        <v>365</v>
      </c>
      <c r="B75" s="27" t="s">
        <v>28</v>
      </c>
      <c r="C75" s="27" t="s">
        <v>367</v>
      </c>
      <c r="D75" s="97">
        <v>45329</v>
      </c>
      <c r="E75" s="29" t="str">
        <f>TEXT(D75,"mmmm")</f>
        <v>February</v>
      </c>
      <c r="F75" s="18">
        <f>YEAR(D75)</f>
        <v>2024</v>
      </c>
      <c r="G75" s="99">
        <v>45588</v>
      </c>
      <c r="H75" s="30">
        <v>114</v>
      </c>
      <c r="I75" s="43">
        <v>414529</v>
      </c>
      <c r="J75" s="32">
        <v>129469</v>
      </c>
      <c r="K75" s="32">
        <v>6473</v>
      </c>
      <c r="L75" s="32">
        <v>10000</v>
      </c>
      <c r="M75" s="32">
        <v>145943</v>
      </c>
      <c r="N75" t="s">
        <v>193</v>
      </c>
      <c r="O75" t="s">
        <v>27</v>
      </c>
    </row>
    <row r="76" spans="1:15" ht="15.75" customHeight="1">
      <c r="A76" s="27" t="s">
        <v>371</v>
      </c>
      <c r="B76" s="27" t="s">
        <v>28</v>
      </c>
      <c r="C76" s="27" t="s">
        <v>372</v>
      </c>
      <c r="D76" s="28">
        <v>45329</v>
      </c>
      <c r="E76" s="29" t="str">
        <f>TEXT(D76,"mmmm")</f>
        <v>February</v>
      </c>
      <c r="F76" s="18">
        <f>YEAR(D76)</f>
        <v>2024</v>
      </c>
      <c r="G76" s="29">
        <v>45903</v>
      </c>
      <c r="H76" s="30">
        <v>251</v>
      </c>
      <c r="I76" s="32">
        <v>1428135</v>
      </c>
      <c r="J76" s="32">
        <v>982087</v>
      </c>
      <c r="K76" s="32">
        <v>49104</v>
      </c>
      <c r="L76" s="32">
        <v>60000</v>
      </c>
      <c r="M76" s="32">
        <v>1091192</v>
      </c>
      <c r="N76" t="s">
        <v>193</v>
      </c>
      <c r="O76" t="s">
        <v>27</v>
      </c>
    </row>
    <row r="77" spans="1:15" ht="15.75" customHeight="1">
      <c r="A77" s="27" t="s">
        <v>268</v>
      </c>
      <c r="B77" s="27" t="s">
        <v>28</v>
      </c>
      <c r="C77" s="27" t="s">
        <v>269</v>
      </c>
      <c r="D77" s="28">
        <v>45348</v>
      </c>
      <c r="E77" s="29" t="str">
        <f>TEXT(D77,"mmmm")</f>
        <v>February</v>
      </c>
      <c r="F77" s="18">
        <f>YEAR(D77)</f>
        <v>2024</v>
      </c>
      <c r="G77" s="29">
        <v>45535</v>
      </c>
      <c r="H77" s="30">
        <f>G77-D77+1</f>
        <v>188</v>
      </c>
      <c r="I77" s="32">
        <v>417659</v>
      </c>
      <c r="J77" s="32">
        <f>I77*H77/365</f>
        <v>215122.9917808219</v>
      </c>
      <c r="K77" s="32">
        <f>J77*5%</f>
        <v>10756.149589041095</v>
      </c>
      <c r="L77" s="32">
        <v>10000</v>
      </c>
      <c r="M77" s="32">
        <f>SUM(J77:L77)</f>
        <v>235879.14136986301</v>
      </c>
      <c r="N77" t="s">
        <v>193</v>
      </c>
      <c r="O77" t="s">
        <v>27</v>
      </c>
    </row>
    <row r="78" spans="1:15" ht="15.75" customHeight="1">
      <c r="A78" s="27" t="s">
        <v>55</v>
      </c>
      <c r="B78" s="27" t="s">
        <v>28</v>
      </c>
      <c r="C78" s="27" t="s">
        <v>273</v>
      </c>
      <c r="D78" s="28">
        <v>45350</v>
      </c>
      <c r="E78" s="29" t="str">
        <f>TEXT(D78,"mmmm")</f>
        <v>February</v>
      </c>
      <c r="F78" s="18">
        <f>YEAR(D78)</f>
        <v>2024</v>
      </c>
      <c r="G78" s="29">
        <v>45570</v>
      </c>
      <c r="H78" s="30">
        <f>G78-D78+1</f>
        <v>221</v>
      </c>
      <c r="I78" s="32">
        <v>377700</v>
      </c>
      <c r="J78" s="32">
        <f>I78*H78/365</f>
        <v>228689.5890410959</v>
      </c>
      <c r="K78" s="32">
        <f>J78*5%</f>
        <v>11434.479452054795</v>
      </c>
      <c r="L78" s="32">
        <v>3000</v>
      </c>
      <c r="M78" s="32">
        <f>SUM(J78:L78)</f>
        <v>243124.0684931507</v>
      </c>
      <c r="N78" t="s">
        <v>193</v>
      </c>
      <c r="O78" t="s">
        <v>27</v>
      </c>
    </row>
    <row r="79" spans="1:15" ht="15.75" customHeight="1">
      <c r="A79" s="27" t="s">
        <v>54</v>
      </c>
      <c r="B79" s="27" t="s">
        <v>28</v>
      </c>
      <c r="C79" s="27" t="s">
        <v>270</v>
      </c>
      <c r="D79" s="28">
        <v>45358</v>
      </c>
      <c r="E79" s="29" t="str">
        <f>TEXT(D79,"mmmm")</f>
        <v>March</v>
      </c>
      <c r="F79" s="18">
        <f>YEAR(D79)</f>
        <v>2024</v>
      </c>
      <c r="G79" s="29">
        <v>45559</v>
      </c>
      <c r="H79" s="30">
        <f>G79-D79+1</f>
        <v>202</v>
      </c>
      <c r="I79" s="32">
        <v>82199</v>
      </c>
      <c r="J79" s="32">
        <f>I79*H79/365</f>
        <v>45490.953424657535</v>
      </c>
      <c r="K79" s="32">
        <f>J79*5%</f>
        <v>2274.5476712328768</v>
      </c>
      <c r="L79" s="32">
        <v>5000</v>
      </c>
      <c r="M79" s="32">
        <f>SUM(J79:L79)</f>
        <v>52765.501095890409</v>
      </c>
      <c r="N79" t="s">
        <v>193</v>
      </c>
      <c r="O79" t="s">
        <v>27</v>
      </c>
    </row>
    <row r="80" spans="1:15" ht="15.75" customHeight="1">
      <c r="A80" s="34" t="s">
        <v>63</v>
      </c>
      <c r="B80" s="34" t="s">
        <v>28</v>
      </c>
      <c r="C80" s="34" t="s">
        <v>305</v>
      </c>
      <c r="D80" s="35">
        <v>45358</v>
      </c>
      <c r="E80" s="29" t="str">
        <f>TEXT(D80,"mmmm")</f>
        <v>March</v>
      </c>
      <c r="F80" s="18">
        <f>YEAR(D80)</f>
        <v>2024</v>
      </c>
      <c r="G80" s="36">
        <v>45581</v>
      </c>
      <c r="H80" s="37">
        <f>G80-D80+1</f>
        <v>224</v>
      </c>
      <c r="I80" s="42">
        <v>503134</v>
      </c>
      <c r="J80" s="42">
        <f>I80*H80/365</f>
        <v>308772.64657534246</v>
      </c>
      <c r="K80" s="42">
        <f>J80*5%</f>
        <v>15438.632328767124</v>
      </c>
      <c r="L80" s="42">
        <v>10000</v>
      </c>
      <c r="M80" s="42">
        <f>SUM(J80:L80)</f>
        <v>334211.27890410955</v>
      </c>
      <c r="N80" t="s">
        <v>193</v>
      </c>
      <c r="O80" t="s">
        <v>27</v>
      </c>
    </row>
    <row r="81" spans="1:15" ht="15.75" customHeight="1">
      <c r="A81" s="27" t="s">
        <v>271</v>
      </c>
      <c r="B81" s="27" t="s">
        <v>28</v>
      </c>
      <c r="C81" s="27" t="s">
        <v>369</v>
      </c>
      <c r="D81" s="28">
        <v>45358</v>
      </c>
      <c r="E81" s="29" t="str">
        <f>TEXT(D81,"mmmm")</f>
        <v>March</v>
      </c>
      <c r="F81" s="18">
        <f>YEAR(D81)</f>
        <v>2024</v>
      </c>
      <c r="G81" s="47" t="s">
        <v>370</v>
      </c>
      <c r="H81" s="30">
        <v>120</v>
      </c>
      <c r="I81" s="32">
        <v>1364193</v>
      </c>
      <c r="J81" s="32">
        <v>448502</v>
      </c>
      <c r="K81" s="32">
        <v>22425</v>
      </c>
      <c r="L81" s="32">
        <v>40000</v>
      </c>
      <c r="M81" s="32">
        <v>510927</v>
      </c>
      <c r="N81" t="s">
        <v>193</v>
      </c>
      <c r="O81" t="s">
        <v>27</v>
      </c>
    </row>
    <row r="82" spans="1:15" ht="15.75" customHeight="1">
      <c r="A82" s="27" t="s">
        <v>55</v>
      </c>
      <c r="B82" s="27" t="s">
        <v>28</v>
      </c>
      <c r="C82" s="27" t="s">
        <v>274</v>
      </c>
      <c r="D82" s="28">
        <v>45359</v>
      </c>
      <c r="E82" s="29" t="str">
        <f>TEXT(D82,"mmmm")</f>
        <v>March</v>
      </c>
      <c r="F82" s="18">
        <f>YEAR(D82)</f>
        <v>2024</v>
      </c>
      <c r="G82" s="29">
        <v>45570</v>
      </c>
      <c r="H82" s="30">
        <f>G82-D82+1</f>
        <v>212</v>
      </c>
      <c r="I82" s="32">
        <v>377700</v>
      </c>
      <c r="J82" s="32">
        <f>I82*H82/365</f>
        <v>219376.43835616438</v>
      </c>
      <c r="K82" s="32">
        <f>J82*5%</f>
        <v>10968.82191780822</v>
      </c>
      <c r="L82" s="32">
        <v>3000</v>
      </c>
      <c r="M82" s="32">
        <f>SUM(J82:L82)</f>
        <v>233345.26027397258</v>
      </c>
      <c r="N82" t="s">
        <v>193</v>
      </c>
      <c r="O82" t="s">
        <v>27</v>
      </c>
    </row>
    <row r="83" spans="1:15" ht="15.75" customHeight="1">
      <c r="A83" s="27" t="s">
        <v>55</v>
      </c>
      <c r="B83" s="27" t="s">
        <v>28</v>
      </c>
      <c r="C83" s="27" t="s">
        <v>275</v>
      </c>
      <c r="D83" s="28">
        <v>45362</v>
      </c>
      <c r="E83" s="29" t="str">
        <f>TEXT(D83,"mmmm")</f>
        <v>March</v>
      </c>
      <c r="F83" s="18">
        <f>YEAR(D83)</f>
        <v>2024</v>
      </c>
      <c r="G83" s="29">
        <v>45570</v>
      </c>
      <c r="H83" s="30">
        <f>G83-D83+1</f>
        <v>209</v>
      </c>
      <c r="I83" s="32">
        <v>377700</v>
      </c>
      <c r="J83" s="32">
        <f>I83*H83/365</f>
        <v>216272.05479452055</v>
      </c>
      <c r="K83" s="32">
        <f>J83*5%</f>
        <v>10813.602739726028</v>
      </c>
      <c r="L83" s="32">
        <v>3000</v>
      </c>
      <c r="M83" s="32">
        <f>SUM(J83:L83)</f>
        <v>230085.65753424657</v>
      </c>
      <c r="N83" t="s">
        <v>193</v>
      </c>
      <c r="O83" t="s">
        <v>27</v>
      </c>
    </row>
    <row r="84" spans="1:15" ht="15.75" customHeight="1">
      <c r="A84" s="34" t="s">
        <v>63</v>
      </c>
      <c r="B84" s="34" t="s">
        <v>28</v>
      </c>
      <c r="C84" s="34" t="s">
        <v>306</v>
      </c>
      <c r="D84" s="35">
        <v>45364</v>
      </c>
      <c r="E84" s="29" t="str">
        <f>TEXT(D84,"mmmm")</f>
        <v>March</v>
      </c>
      <c r="F84" s="18">
        <f>YEAR(D84)</f>
        <v>2024</v>
      </c>
      <c r="G84" s="36">
        <v>45581</v>
      </c>
      <c r="H84" s="37">
        <f>G84-D84+1</f>
        <v>218</v>
      </c>
      <c r="I84" s="42">
        <v>1228287</v>
      </c>
      <c r="J84" s="42">
        <f>I84*H84/365</f>
        <v>733607.03013698629</v>
      </c>
      <c r="K84" s="42">
        <f>J84*5%</f>
        <v>36680.351506849314</v>
      </c>
      <c r="L84" s="42">
        <v>60000</v>
      </c>
      <c r="M84" s="42">
        <f>SUM(J84:L84)</f>
        <v>830287.38164383557</v>
      </c>
      <c r="N84" t="s">
        <v>193</v>
      </c>
      <c r="O84" t="s">
        <v>27</v>
      </c>
    </row>
    <row r="85" spans="1:15" ht="15.75" customHeight="1">
      <c r="A85" s="27" t="s">
        <v>55</v>
      </c>
      <c r="B85" s="27" t="s">
        <v>28</v>
      </c>
      <c r="C85" s="27" t="s">
        <v>276</v>
      </c>
      <c r="D85" s="28">
        <v>45370</v>
      </c>
      <c r="E85" s="29" t="str">
        <f>TEXT(D85,"mmmm")</f>
        <v>March</v>
      </c>
      <c r="F85" s="18">
        <f>YEAR(D85)</f>
        <v>2024</v>
      </c>
      <c r="G85" s="29">
        <v>45570</v>
      </c>
      <c r="H85" s="30">
        <f>G85-D85+1</f>
        <v>201</v>
      </c>
      <c r="I85" s="32">
        <v>377700</v>
      </c>
      <c r="J85" s="32">
        <f>I85*H85/365</f>
        <v>207993.69863013699</v>
      </c>
      <c r="K85" s="32">
        <f>J85*5%</f>
        <v>10399.68493150685</v>
      </c>
      <c r="L85" s="32">
        <v>3000</v>
      </c>
      <c r="M85" s="32">
        <f>SUM(J85:L85)</f>
        <v>221393.38356164383</v>
      </c>
      <c r="N85" t="s">
        <v>193</v>
      </c>
      <c r="O85" t="s">
        <v>27</v>
      </c>
    </row>
    <row r="86" spans="1:15" ht="15.75" customHeight="1">
      <c r="A86" s="27" t="s">
        <v>55</v>
      </c>
      <c r="B86" s="27" t="s">
        <v>28</v>
      </c>
      <c r="C86" s="27" t="s">
        <v>277</v>
      </c>
      <c r="D86" s="28">
        <v>45370</v>
      </c>
      <c r="E86" s="29" t="str">
        <f>TEXT(D86,"mmmm")</f>
        <v>March</v>
      </c>
      <c r="F86" s="18">
        <f>YEAR(D86)</f>
        <v>2024</v>
      </c>
      <c r="G86" s="29">
        <v>45570</v>
      </c>
      <c r="H86" s="30">
        <f>G86-D86+1</f>
        <v>201</v>
      </c>
      <c r="I86" s="32">
        <v>377700</v>
      </c>
      <c r="J86" s="32">
        <f>I86*H86/365</f>
        <v>207993.69863013699</v>
      </c>
      <c r="K86" s="32">
        <f>J86*5%</f>
        <v>10399.68493150685</v>
      </c>
      <c r="L86" s="32">
        <v>3000</v>
      </c>
      <c r="M86" s="32">
        <f>SUM(J86:L86)</f>
        <v>221393.38356164383</v>
      </c>
      <c r="N86" t="s">
        <v>193</v>
      </c>
      <c r="O86" t="s">
        <v>27</v>
      </c>
    </row>
    <row r="87" spans="1:15" ht="15.75" customHeight="1">
      <c r="A87" s="27" t="s">
        <v>55</v>
      </c>
      <c r="B87" s="27" t="s">
        <v>28</v>
      </c>
      <c r="C87" s="27" t="s">
        <v>278</v>
      </c>
      <c r="D87" s="28">
        <v>45370</v>
      </c>
      <c r="E87" s="29" t="str">
        <f>TEXT(D87,"mmmm")</f>
        <v>March</v>
      </c>
      <c r="F87" s="18">
        <f>YEAR(D87)</f>
        <v>2024</v>
      </c>
      <c r="G87" s="29">
        <v>45570</v>
      </c>
      <c r="H87" s="30">
        <f>G87-D87+1</f>
        <v>201</v>
      </c>
      <c r="I87" s="32">
        <v>377700</v>
      </c>
      <c r="J87" s="32">
        <f>I87*H87/365</f>
        <v>207993.69863013699</v>
      </c>
      <c r="K87" s="32">
        <f>J87*5%</f>
        <v>10399.68493150685</v>
      </c>
      <c r="L87" s="32">
        <v>3000</v>
      </c>
      <c r="M87" s="32">
        <f>SUM(J87:L87)</f>
        <v>221393.38356164383</v>
      </c>
      <c r="N87" t="s">
        <v>193</v>
      </c>
      <c r="O87" t="s">
        <v>27</v>
      </c>
    </row>
    <row r="88" spans="1:15" ht="15.75" customHeight="1">
      <c r="A88" s="27" t="s">
        <v>55</v>
      </c>
      <c r="B88" s="27" t="s">
        <v>28</v>
      </c>
      <c r="C88" s="27" t="s">
        <v>279</v>
      </c>
      <c r="D88" s="28">
        <v>45370</v>
      </c>
      <c r="E88" s="29" t="str">
        <f>TEXT(D88,"mmmm")</f>
        <v>March</v>
      </c>
      <c r="F88" s="18">
        <f>YEAR(D88)</f>
        <v>2024</v>
      </c>
      <c r="G88" s="29">
        <v>45570</v>
      </c>
      <c r="H88" s="30">
        <f>G88-D88+1</f>
        <v>201</v>
      </c>
      <c r="I88" s="32">
        <v>377700</v>
      </c>
      <c r="J88" s="32">
        <f>I88*H88/365</f>
        <v>207993.69863013699</v>
      </c>
      <c r="K88" s="32">
        <f>J88*5%</f>
        <v>10399.68493150685</v>
      </c>
      <c r="L88" s="32">
        <v>3000</v>
      </c>
      <c r="M88" s="32">
        <f>SUM(J88:L88)</f>
        <v>221393.38356164383</v>
      </c>
      <c r="N88" t="s">
        <v>193</v>
      </c>
      <c r="O88" t="s">
        <v>27</v>
      </c>
    </row>
    <row r="89" spans="1:15" ht="15.75" customHeight="1">
      <c r="A89" s="27" t="s">
        <v>55</v>
      </c>
      <c r="B89" s="27" t="s">
        <v>28</v>
      </c>
      <c r="C89" s="27" t="s">
        <v>280</v>
      </c>
      <c r="D89" s="28">
        <v>45370</v>
      </c>
      <c r="E89" s="29" t="str">
        <f>TEXT(D89,"mmmm")</f>
        <v>March</v>
      </c>
      <c r="F89" s="18">
        <f>YEAR(D89)</f>
        <v>2024</v>
      </c>
      <c r="G89" s="29">
        <v>45570</v>
      </c>
      <c r="H89" s="30">
        <f>G89-D89+1</f>
        <v>201</v>
      </c>
      <c r="I89" s="32">
        <v>377700</v>
      </c>
      <c r="J89" s="32">
        <f>I89*H89/365</f>
        <v>207993.69863013699</v>
      </c>
      <c r="K89" s="32">
        <f>J89*5%</f>
        <v>10399.68493150685</v>
      </c>
      <c r="L89" s="32">
        <v>3000</v>
      </c>
      <c r="M89" s="32">
        <f>SUM(J89:L89)</f>
        <v>221393.38356164383</v>
      </c>
      <c r="N89" t="s">
        <v>193</v>
      </c>
      <c r="O89" t="s">
        <v>27</v>
      </c>
    </row>
    <row r="90" spans="1:15" ht="15.75" customHeight="1">
      <c r="A90" s="27" t="s">
        <v>55</v>
      </c>
      <c r="B90" s="27" t="s">
        <v>28</v>
      </c>
      <c r="C90" s="27" t="s">
        <v>281</v>
      </c>
      <c r="D90" s="28">
        <v>45370</v>
      </c>
      <c r="E90" s="29" t="str">
        <f>TEXT(D90,"mmmm")</f>
        <v>March</v>
      </c>
      <c r="F90" s="18">
        <f>YEAR(D90)</f>
        <v>2024</v>
      </c>
      <c r="G90" s="29">
        <v>45570</v>
      </c>
      <c r="H90" s="30">
        <f>G90-D90+1</f>
        <v>201</v>
      </c>
      <c r="I90" s="32">
        <v>377700</v>
      </c>
      <c r="J90" s="32">
        <f>I90*H90/365</f>
        <v>207993.69863013699</v>
      </c>
      <c r="K90" s="32">
        <f>J90*5%</f>
        <v>10399.68493150685</v>
      </c>
      <c r="L90" s="32">
        <v>3000</v>
      </c>
      <c r="M90" s="32">
        <f>SUM(J90:L90)</f>
        <v>221393.38356164383</v>
      </c>
      <c r="N90" t="s">
        <v>193</v>
      </c>
      <c r="O90" t="s">
        <v>27</v>
      </c>
    </row>
    <row r="91" spans="1:15" ht="15.75" customHeight="1">
      <c r="A91" s="27" t="s">
        <v>55</v>
      </c>
      <c r="B91" s="27" t="s">
        <v>28</v>
      </c>
      <c r="C91" s="27" t="s">
        <v>282</v>
      </c>
      <c r="D91" s="28">
        <v>45370</v>
      </c>
      <c r="E91" s="29" t="str">
        <f>TEXT(D91,"mmmm")</f>
        <v>March</v>
      </c>
      <c r="F91" s="18">
        <f>YEAR(D91)</f>
        <v>2024</v>
      </c>
      <c r="G91" s="29">
        <v>45570</v>
      </c>
      <c r="H91" s="30">
        <f>G91-D91+1</f>
        <v>201</v>
      </c>
      <c r="I91" s="32">
        <v>377700</v>
      </c>
      <c r="J91" s="32">
        <f>I91*H91/365</f>
        <v>207993.69863013699</v>
      </c>
      <c r="K91" s="32">
        <f>J91*5%</f>
        <v>10399.68493150685</v>
      </c>
      <c r="L91" s="32">
        <v>3000</v>
      </c>
      <c r="M91" s="32">
        <f>SUM(J91:L91)</f>
        <v>221393.38356164383</v>
      </c>
      <c r="N91" t="s">
        <v>193</v>
      </c>
      <c r="O91" t="s">
        <v>27</v>
      </c>
    </row>
    <row r="92" spans="1:15" ht="15.75" customHeight="1">
      <c r="A92" s="27" t="s">
        <v>55</v>
      </c>
      <c r="B92" s="27" t="s">
        <v>28</v>
      </c>
      <c r="C92" s="27" t="s">
        <v>283</v>
      </c>
      <c r="D92" s="28">
        <v>45370</v>
      </c>
      <c r="E92" s="29" t="str">
        <f>TEXT(D92,"mmmm")</f>
        <v>March</v>
      </c>
      <c r="F92" s="18">
        <f>YEAR(D92)</f>
        <v>2024</v>
      </c>
      <c r="G92" s="29">
        <v>45570</v>
      </c>
      <c r="H92" s="30">
        <f>G92-D92+1</f>
        <v>201</v>
      </c>
      <c r="I92" s="32">
        <v>377700</v>
      </c>
      <c r="J92" s="32">
        <f>I92*H92/365</f>
        <v>207993.69863013699</v>
      </c>
      <c r="K92" s="32">
        <f>J92*5%</f>
        <v>10399.68493150685</v>
      </c>
      <c r="L92" s="32">
        <v>3000</v>
      </c>
      <c r="M92" s="32">
        <f>SUM(J92:L92)</f>
        <v>221393.38356164383</v>
      </c>
      <c r="N92" t="s">
        <v>193</v>
      </c>
      <c r="O92" t="s">
        <v>27</v>
      </c>
    </row>
    <row r="93" spans="1:15" ht="15.75" customHeight="1">
      <c r="A93" s="27" t="s">
        <v>55</v>
      </c>
      <c r="B93" s="27" t="s">
        <v>28</v>
      </c>
      <c r="C93" s="27" t="s">
        <v>284</v>
      </c>
      <c r="D93" s="28">
        <v>45370</v>
      </c>
      <c r="E93" s="29" t="str">
        <f>TEXT(D93,"mmmm")</f>
        <v>March</v>
      </c>
      <c r="F93" s="18">
        <f>YEAR(D93)</f>
        <v>2024</v>
      </c>
      <c r="G93" s="29">
        <v>45570</v>
      </c>
      <c r="H93" s="30">
        <f>G93-D93+1</f>
        <v>201</v>
      </c>
      <c r="I93" s="32">
        <v>377700</v>
      </c>
      <c r="J93" s="32">
        <f>I93*H93/365</f>
        <v>207993.69863013699</v>
      </c>
      <c r="K93" s="32">
        <f>J93*5%</f>
        <v>10399.68493150685</v>
      </c>
      <c r="L93" s="32">
        <v>3000</v>
      </c>
      <c r="M93" s="32">
        <f>SUM(J93:L93)</f>
        <v>221393.38356164383</v>
      </c>
      <c r="N93" t="s">
        <v>193</v>
      </c>
      <c r="O93" t="s">
        <v>27</v>
      </c>
    </row>
    <row r="94" spans="1:15" ht="15.75" customHeight="1">
      <c r="A94" s="27" t="s">
        <v>55</v>
      </c>
      <c r="B94" s="27" t="s">
        <v>28</v>
      </c>
      <c r="C94" s="27" t="s">
        <v>285</v>
      </c>
      <c r="D94" s="28">
        <v>45370</v>
      </c>
      <c r="E94" s="29" t="str">
        <f>TEXT(D94,"mmmm")</f>
        <v>March</v>
      </c>
      <c r="F94" s="18">
        <f>YEAR(D94)</f>
        <v>2024</v>
      </c>
      <c r="G94" s="29">
        <v>45570</v>
      </c>
      <c r="H94" s="30">
        <f>G94-D94+1</f>
        <v>201</v>
      </c>
      <c r="I94" s="32">
        <v>377700</v>
      </c>
      <c r="J94" s="32">
        <f>I94*H94/365</f>
        <v>207993.69863013699</v>
      </c>
      <c r="K94" s="32">
        <f>J94*5%</f>
        <v>10399.68493150685</v>
      </c>
      <c r="L94" s="32">
        <v>3000</v>
      </c>
      <c r="M94" s="32">
        <f>SUM(J94:L94)</f>
        <v>221393.38356164383</v>
      </c>
      <c r="N94" t="s">
        <v>193</v>
      </c>
      <c r="O94" t="s">
        <v>27</v>
      </c>
    </row>
    <row r="95" spans="1:15" ht="15.75" customHeight="1">
      <c r="A95" s="27" t="s">
        <v>271</v>
      </c>
      <c r="B95" s="27" t="s">
        <v>34</v>
      </c>
      <c r="C95" s="27" t="s">
        <v>272</v>
      </c>
      <c r="D95" s="28">
        <v>45386</v>
      </c>
      <c r="E95" s="29" t="str">
        <f>TEXT(D95,"mmmm")</f>
        <v>April</v>
      </c>
      <c r="F95" s="18">
        <f>YEAR(D95)</f>
        <v>2024</v>
      </c>
      <c r="G95" s="29">
        <v>45595</v>
      </c>
      <c r="H95" s="30">
        <f>G95-D95+1</f>
        <v>210</v>
      </c>
      <c r="I95" s="32">
        <v>1583036</v>
      </c>
      <c r="J95" s="32">
        <f>I95*H95/365</f>
        <v>910787.8356164383</v>
      </c>
      <c r="K95" s="32">
        <f>J95*5%</f>
        <v>45539.391780821919</v>
      </c>
      <c r="L95" s="32">
        <v>50000</v>
      </c>
      <c r="M95" s="32">
        <f>SUM(J95:L95)</f>
        <v>1006327.2273972603</v>
      </c>
      <c r="N95" t="s">
        <v>193</v>
      </c>
      <c r="O95" t="s">
        <v>27</v>
      </c>
    </row>
    <row r="96" spans="1:15" ht="15.75" customHeight="1">
      <c r="A96" s="27" t="s">
        <v>32</v>
      </c>
      <c r="B96" s="27" t="s">
        <v>28</v>
      </c>
      <c r="C96" s="27" t="s">
        <v>288</v>
      </c>
      <c r="D96" s="28">
        <v>45387</v>
      </c>
      <c r="E96" s="29" t="str">
        <f>TEXT(D96,"mmmm")</f>
        <v>April</v>
      </c>
      <c r="F96" s="18">
        <f>YEAR(D96)</f>
        <v>2024</v>
      </c>
      <c r="G96" s="29">
        <v>45701</v>
      </c>
      <c r="H96" s="30">
        <f>G96-D96+1</f>
        <v>315</v>
      </c>
      <c r="I96" s="32">
        <v>1258200</v>
      </c>
      <c r="J96" s="32">
        <f>I96*H96/365</f>
        <v>1085843.8356164384</v>
      </c>
      <c r="K96" s="32">
        <f>J96*5%</f>
        <v>54292.191780821922</v>
      </c>
      <c r="L96" s="32">
        <v>15000</v>
      </c>
      <c r="M96" s="32">
        <f>SUM(J96:L96)</f>
        <v>1155136.0273972603</v>
      </c>
      <c r="N96" t="s">
        <v>193</v>
      </c>
      <c r="O96" t="s">
        <v>27</v>
      </c>
    </row>
    <row r="97" spans="1:15" ht="15.75" customHeight="1">
      <c r="A97" s="27" t="s">
        <v>55</v>
      </c>
      <c r="B97" s="27" t="s">
        <v>28</v>
      </c>
      <c r="C97" s="95" t="s">
        <v>320</v>
      </c>
      <c r="D97" s="97">
        <v>45388</v>
      </c>
      <c r="E97" s="29" t="str">
        <f>TEXT(D97,"mmmm")</f>
        <v>April</v>
      </c>
      <c r="F97" s="18">
        <f>YEAR(D97)</f>
        <v>2024</v>
      </c>
      <c r="G97" s="99">
        <v>45422</v>
      </c>
      <c r="H97" s="101">
        <v>124</v>
      </c>
      <c r="I97" s="43">
        <v>377700</v>
      </c>
      <c r="J97" s="43">
        <v>128315</v>
      </c>
      <c r="K97" s="43">
        <v>6416</v>
      </c>
      <c r="L97" s="43">
        <v>3000</v>
      </c>
      <c r="M97" s="43">
        <v>137730</v>
      </c>
      <c r="N97" t="s">
        <v>193</v>
      </c>
      <c r="O97" t="s">
        <v>27</v>
      </c>
    </row>
    <row r="98" spans="1:15" ht="15.75" customHeight="1">
      <c r="A98" s="27" t="s">
        <v>55</v>
      </c>
      <c r="B98" s="27" t="s">
        <v>28</v>
      </c>
      <c r="C98" s="95" t="s">
        <v>321</v>
      </c>
      <c r="D98" s="97">
        <v>45388</v>
      </c>
      <c r="E98" s="29" t="str">
        <f>TEXT(D98,"mmmm")</f>
        <v>April</v>
      </c>
      <c r="F98" s="18">
        <f>YEAR(D98)</f>
        <v>2024</v>
      </c>
      <c r="G98" s="99">
        <v>45422</v>
      </c>
      <c r="H98" s="101">
        <v>124</v>
      </c>
      <c r="I98" s="43">
        <v>377700</v>
      </c>
      <c r="J98" s="43">
        <v>128315</v>
      </c>
      <c r="K98" s="43">
        <v>6416</v>
      </c>
      <c r="L98" s="43">
        <v>3000</v>
      </c>
      <c r="M98" s="43">
        <v>137730</v>
      </c>
      <c r="N98" t="s">
        <v>193</v>
      </c>
      <c r="O98" t="s">
        <v>27</v>
      </c>
    </row>
    <row r="99" spans="1:15" ht="15.75" customHeight="1">
      <c r="A99" s="27" t="s">
        <v>286</v>
      </c>
      <c r="B99" s="27" t="s">
        <v>28</v>
      </c>
      <c r="C99" s="27" t="s">
        <v>287</v>
      </c>
      <c r="D99" s="28">
        <v>45405</v>
      </c>
      <c r="E99" s="29" t="str">
        <f>TEXT(D99,"mmmm")</f>
        <v>April</v>
      </c>
      <c r="F99" s="18">
        <f>YEAR(D99)</f>
        <v>2024</v>
      </c>
      <c r="G99" s="29">
        <v>45715</v>
      </c>
      <c r="H99" s="30">
        <f>G99-D99+1</f>
        <v>311</v>
      </c>
      <c r="I99" s="32">
        <v>425036</v>
      </c>
      <c r="J99" s="32">
        <f>I99*H99/365</f>
        <v>362153.96164383559</v>
      </c>
      <c r="K99" s="32">
        <f>J99*5%</f>
        <v>18107.698082191779</v>
      </c>
      <c r="L99" s="32">
        <v>10000</v>
      </c>
      <c r="M99" s="32">
        <f>SUM(J99:L99)</f>
        <v>390261.65972602734</v>
      </c>
      <c r="N99" t="s">
        <v>193</v>
      </c>
      <c r="O99" t="s">
        <v>27</v>
      </c>
    </row>
    <row r="100" spans="1:15" ht="15.75" customHeight="1">
      <c r="A100" s="27" t="s">
        <v>96</v>
      </c>
      <c r="B100" s="27" t="s">
        <v>28</v>
      </c>
      <c r="C100" s="27" t="s">
        <v>289</v>
      </c>
      <c r="D100" s="28">
        <v>45413</v>
      </c>
      <c r="E100" s="29" t="str">
        <f>TEXT(D100,"mmmm")</f>
        <v>May</v>
      </c>
      <c r="F100" s="18">
        <f>YEAR(D100)</f>
        <v>2024</v>
      </c>
      <c r="G100" s="29">
        <v>45725</v>
      </c>
      <c r="H100" s="30">
        <f>G100-D100+1</f>
        <v>313</v>
      </c>
      <c r="I100" s="32">
        <v>1428135</v>
      </c>
      <c r="J100" s="32">
        <f>I100*H100/365</f>
        <v>1224674.6712328766</v>
      </c>
      <c r="K100" s="32">
        <f>J100*5%</f>
        <v>61233.733561643836</v>
      </c>
      <c r="L100" s="32">
        <v>10000</v>
      </c>
      <c r="M100" s="32">
        <f>SUM(J100:L100)</f>
        <v>1295908.4047945205</v>
      </c>
      <c r="N100" t="s">
        <v>193</v>
      </c>
      <c r="O100" t="s">
        <v>27</v>
      </c>
    </row>
    <row r="101" spans="1:15" ht="15.75" customHeight="1">
      <c r="A101" s="27" t="s">
        <v>302</v>
      </c>
      <c r="B101" s="27" t="s">
        <v>28</v>
      </c>
      <c r="C101" s="27" t="s">
        <v>303</v>
      </c>
      <c r="D101" s="28">
        <v>45413</v>
      </c>
      <c r="E101" s="29" t="str">
        <f>TEXT(D101,"mmmm")</f>
        <v>May</v>
      </c>
      <c r="F101" s="18">
        <f>YEAR(D101)</f>
        <v>2024</v>
      </c>
      <c r="G101" s="29">
        <v>45535</v>
      </c>
      <c r="H101" s="30">
        <f>G101-D101</f>
        <v>122</v>
      </c>
      <c r="I101" s="32">
        <v>65916030.840000004</v>
      </c>
      <c r="J101" s="32">
        <f>I101*H101/122</f>
        <v>65916030.840000004</v>
      </c>
      <c r="K101" s="32">
        <f>J101*5%</f>
        <v>3295801.5420000004</v>
      </c>
      <c r="L101" s="32">
        <v>0</v>
      </c>
      <c r="M101" s="32">
        <f>SUM(J101:L101)</f>
        <v>69211832.381999999</v>
      </c>
      <c r="N101" t="s">
        <v>193</v>
      </c>
      <c r="O101" t="s">
        <v>27</v>
      </c>
    </row>
    <row r="102" spans="1:15" ht="15.75" customHeight="1">
      <c r="A102" s="27" t="s">
        <v>55</v>
      </c>
      <c r="B102" s="27" t="s">
        <v>28</v>
      </c>
      <c r="C102" s="95" t="s">
        <v>322</v>
      </c>
      <c r="D102" s="97">
        <v>45418</v>
      </c>
      <c r="E102" s="29" t="str">
        <f>TEXT(D102,"mmmm")</f>
        <v>May</v>
      </c>
      <c r="F102" s="18">
        <f>YEAR(D102)</f>
        <v>2024</v>
      </c>
      <c r="G102" s="99">
        <v>45422</v>
      </c>
      <c r="H102" s="101">
        <v>123</v>
      </c>
      <c r="I102" s="43">
        <v>377700</v>
      </c>
      <c r="J102" s="43">
        <v>127280</v>
      </c>
      <c r="K102" s="43">
        <v>6364</v>
      </c>
      <c r="L102" s="43">
        <v>3000</v>
      </c>
      <c r="M102" s="43">
        <v>136644</v>
      </c>
      <c r="N102" t="s">
        <v>193</v>
      </c>
      <c r="O102" t="s">
        <v>27</v>
      </c>
    </row>
    <row r="103" spans="1:15" ht="15.75" customHeight="1">
      <c r="A103" s="27" t="s">
        <v>55</v>
      </c>
      <c r="B103" s="27" t="s">
        <v>28</v>
      </c>
      <c r="C103" s="95" t="s">
        <v>323</v>
      </c>
      <c r="D103" s="97">
        <v>45418</v>
      </c>
      <c r="E103" s="29" t="str">
        <f>TEXT(D103,"mmmm")</f>
        <v>May</v>
      </c>
      <c r="F103" s="18">
        <f>YEAR(D103)</f>
        <v>2024</v>
      </c>
      <c r="G103" s="99">
        <v>45422</v>
      </c>
      <c r="H103" s="101">
        <v>123</v>
      </c>
      <c r="I103" s="43">
        <v>377700</v>
      </c>
      <c r="J103" s="43">
        <v>127280</v>
      </c>
      <c r="K103" s="43">
        <v>6364</v>
      </c>
      <c r="L103" s="43">
        <v>3000</v>
      </c>
      <c r="M103" s="43">
        <v>136644</v>
      </c>
      <c r="N103" t="s">
        <v>193</v>
      </c>
      <c r="O103" t="s">
        <v>27</v>
      </c>
    </row>
    <row r="104" spans="1:15" ht="15.75" customHeight="1">
      <c r="A104" s="27" t="s">
        <v>55</v>
      </c>
      <c r="B104" s="27" t="s">
        <v>28</v>
      </c>
      <c r="C104" s="95" t="s">
        <v>324</v>
      </c>
      <c r="D104" s="97">
        <v>45418</v>
      </c>
      <c r="E104" s="29" t="str">
        <f>TEXT(D104,"mmmm")</f>
        <v>May</v>
      </c>
      <c r="F104" s="18">
        <f>YEAR(D104)</f>
        <v>2024</v>
      </c>
      <c r="G104" s="99">
        <v>45422</v>
      </c>
      <c r="H104" s="101">
        <v>123</v>
      </c>
      <c r="I104" s="43">
        <v>377700</v>
      </c>
      <c r="J104" s="43">
        <v>127280</v>
      </c>
      <c r="K104" s="43">
        <v>6364</v>
      </c>
      <c r="L104" s="43">
        <v>3000</v>
      </c>
      <c r="M104" s="43">
        <v>136644</v>
      </c>
      <c r="N104" t="s">
        <v>193</v>
      </c>
      <c r="O104" t="s">
        <v>27</v>
      </c>
    </row>
    <row r="105" spans="1:15" ht="15.75" customHeight="1">
      <c r="A105" s="27" t="s">
        <v>55</v>
      </c>
      <c r="B105" s="27" t="s">
        <v>28</v>
      </c>
      <c r="C105" s="95" t="s">
        <v>325</v>
      </c>
      <c r="D105" s="97">
        <v>45418</v>
      </c>
      <c r="E105" s="29" t="str">
        <f>TEXT(D105,"mmmm")</f>
        <v>May</v>
      </c>
      <c r="F105" s="18">
        <f>YEAR(D105)</f>
        <v>2024</v>
      </c>
      <c r="G105" s="99">
        <v>45422</v>
      </c>
      <c r="H105" s="101">
        <v>123</v>
      </c>
      <c r="I105" s="43">
        <v>377700</v>
      </c>
      <c r="J105" s="43">
        <v>127280</v>
      </c>
      <c r="K105" s="43">
        <v>6364</v>
      </c>
      <c r="L105" s="43">
        <v>3000</v>
      </c>
      <c r="M105" s="43">
        <v>136644</v>
      </c>
      <c r="N105" t="s">
        <v>193</v>
      </c>
      <c r="O105" t="s">
        <v>27</v>
      </c>
    </row>
    <row r="106" spans="1:15" ht="15.75" customHeight="1">
      <c r="A106" s="27" t="s">
        <v>55</v>
      </c>
      <c r="B106" s="27" t="s">
        <v>28</v>
      </c>
      <c r="C106" s="95" t="s">
        <v>326</v>
      </c>
      <c r="D106" s="97">
        <v>45418</v>
      </c>
      <c r="E106" s="29" t="str">
        <f>TEXT(D106,"mmmm")</f>
        <v>May</v>
      </c>
      <c r="F106" s="18">
        <f>YEAR(D106)</f>
        <v>2024</v>
      </c>
      <c r="G106" s="99">
        <v>45422</v>
      </c>
      <c r="H106" s="101">
        <v>123</v>
      </c>
      <c r="I106" s="43">
        <v>377700</v>
      </c>
      <c r="J106" s="43">
        <v>127280</v>
      </c>
      <c r="K106" s="43">
        <v>6364</v>
      </c>
      <c r="L106" s="43">
        <v>3000</v>
      </c>
      <c r="M106" s="43">
        <v>136644</v>
      </c>
      <c r="N106" t="s">
        <v>193</v>
      </c>
      <c r="O106" t="s">
        <v>27</v>
      </c>
    </row>
    <row r="107" spans="1:15" ht="15.75" customHeight="1">
      <c r="A107" s="27" t="s">
        <v>55</v>
      </c>
      <c r="B107" s="27" t="s">
        <v>28</v>
      </c>
      <c r="C107" s="95" t="s">
        <v>327</v>
      </c>
      <c r="D107" s="97">
        <v>45418</v>
      </c>
      <c r="E107" s="29" t="str">
        <f>TEXT(D107,"mmmm")</f>
        <v>May</v>
      </c>
      <c r="F107" s="18">
        <f>YEAR(D107)</f>
        <v>2024</v>
      </c>
      <c r="G107" s="99">
        <v>45422</v>
      </c>
      <c r="H107" s="101">
        <v>123</v>
      </c>
      <c r="I107" s="43">
        <v>377700</v>
      </c>
      <c r="J107" s="43">
        <v>127280</v>
      </c>
      <c r="K107" s="43">
        <v>6364</v>
      </c>
      <c r="L107" s="43">
        <v>3000</v>
      </c>
      <c r="M107" s="43">
        <v>136644</v>
      </c>
      <c r="N107" t="s">
        <v>193</v>
      </c>
      <c r="O107" t="s">
        <v>27</v>
      </c>
    </row>
    <row r="108" spans="1:15" ht="15.75" customHeight="1">
      <c r="A108" s="34" t="s">
        <v>63</v>
      </c>
      <c r="B108" s="34" t="s">
        <v>28</v>
      </c>
      <c r="C108" s="34" t="s">
        <v>307</v>
      </c>
      <c r="D108" s="35">
        <v>45425</v>
      </c>
      <c r="E108" s="29" t="str">
        <f>TEXT(D108,"mmmm")</f>
        <v>May</v>
      </c>
      <c r="F108" s="18">
        <f>YEAR(D108)</f>
        <v>2024</v>
      </c>
      <c r="G108" s="36">
        <v>45581</v>
      </c>
      <c r="H108" s="37">
        <f>G108-D108+1</f>
        <v>157</v>
      </c>
      <c r="I108" s="42">
        <v>503134</v>
      </c>
      <c r="J108" s="42">
        <f>I108*H108/365</f>
        <v>216416.54246575342</v>
      </c>
      <c r="K108" s="42">
        <f>J108*5%</f>
        <v>10820.827123287672</v>
      </c>
      <c r="L108" s="42">
        <v>10000</v>
      </c>
      <c r="M108" s="42">
        <f>SUM(J108:L108)</f>
        <v>237237.3695890411</v>
      </c>
      <c r="N108" t="s">
        <v>193</v>
      </c>
      <c r="O108" t="s">
        <v>27</v>
      </c>
    </row>
    <row r="109" spans="1:15" ht="15.75" customHeight="1">
      <c r="A109" s="34" t="s">
        <v>63</v>
      </c>
      <c r="B109" s="34" t="s">
        <v>28</v>
      </c>
      <c r="C109" s="34" t="s">
        <v>308</v>
      </c>
      <c r="D109" s="35">
        <v>45425</v>
      </c>
      <c r="E109" s="29" t="str">
        <f>TEXT(D109,"mmmm")</f>
        <v>May</v>
      </c>
      <c r="F109" s="18">
        <f>YEAR(D109)</f>
        <v>2024</v>
      </c>
      <c r="G109" s="36">
        <v>45581</v>
      </c>
      <c r="H109" s="37">
        <f>G109-D109+1</f>
        <v>157</v>
      </c>
      <c r="I109" s="42">
        <v>1381854</v>
      </c>
      <c r="J109" s="42">
        <f>I109*H109/365</f>
        <v>594386.5150684932</v>
      </c>
      <c r="K109" s="42">
        <f>J109*5%</f>
        <v>29719.325753424662</v>
      </c>
      <c r="L109" s="42">
        <v>40000</v>
      </c>
      <c r="M109" s="42">
        <f>SUM(J109:L109)</f>
        <v>664105.84082191787</v>
      </c>
      <c r="N109" t="s">
        <v>193</v>
      </c>
      <c r="O109" t="s">
        <v>27</v>
      </c>
    </row>
    <row r="110" spans="1:15" ht="15.75" customHeight="1">
      <c r="A110" s="27" t="s">
        <v>297</v>
      </c>
      <c r="B110" s="27" t="s">
        <v>28</v>
      </c>
      <c r="C110" s="27" t="s">
        <v>298</v>
      </c>
      <c r="D110" s="28">
        <v>45432</v>
      </c>
      <c r="E110" s="29" t="str">
        <f>TEXT(D110,"mmmm")</f>
        <v>May</v>
      </c>
      <c r="F110" s="18">
        <f>YEAR(D110)</f>
        <v>2024</v>
      </c>
      <c r="G110" s="29">
        <v>45759</v>
      </c>
      <c r="H110" s="30">
        <f>G110-D110+1</f>
        <v>328</v>
      </c>
      <c r="I110" s="32">
        <v>372295</v>
      </c>
      <c r="J110" s="32">
        <f>I110*H110/365</f>
        <v>334555.50684931508</v>
      </c>
      <c r="K110" s="32">
        <f>J110*5%</f>
        <v>16727.775342465753</v>
      </c>
      <c r="L110" s="32">
        <v>10000</v>
      </c>
      <c r="M110" s="32">
        <f>SUM(J110:L110)</f>
        <v>361283.2821917808</v>
      </c>
      <c r="N110" t="s">
        <v>193</v>
      </c>
      <c r="O110" t="s">
        <v>27</v>
      </c>
    </row>
    <row r="111" spans="1:15" ht="15.75" customHeight="1">
      <c r="A111" s="27" t="s">
        <v>116</v>
      </c>
      <c r="B111" s="27" t="s">
        <v>34</v>
      </c>
      <c r="C111" s="27" t="s">
        <v>299</v>
      </c>
      <c r="D111" s="28">
        <v>45434</v>
      </c>
      <c r="E111" s="29" t="str">
        <f>TEXT(D111,"mmmm")</f>
        <v>May</v>
      </c>
      <c r="F111" s="18">
        <f>YEAR(D111)</f>
        <v>2024</v>
      </c>
      <c r="G111" s="29">
        <v>45774</v>
      </c>
      <c r="H111" s="30">
        <f>G111-D111</f>
        <v>340</v>
      </c>
      <c r="I111" s="32">
        <v>1020717</v>
      </c>
      <c r="J111" s="32">
        <f>I111*H111/365</f>
        <v>950804.87671232875</v>
      </c>
      <c r="K111" s="32">
        <f>J111*5%</f>
        <v>47540.243835616442</v>
      </c>
      <c r="L111" s="32">
        <v>15000</v>
      </c>
      <c r="M111" s="32">
        <f>SUM(J111:L111)</f>
        <v>1013345.1205479451</v>
      </c>
      <c r="N111" t="s">
        <v>193</v>
      </c>
      <c r="O111" t="s">
        <v>27</v>
      </c>
    </row>
    <row r="112" spans="1:15" ht="15.75" customHeight="1">
      <c r="A112" s="27" t="s">
        <v>116</v>
      </c>
      <c r="B112" s="27" t="s">
        <v>34</v>
      </c>
      <c r="C112" s="27" t="s">
        <v>300</v>
      </c>
      <c r="D112" s="28">
        <v>45434</v>
      </c>
      <c r="E112" s="29" t="str">
        <f>TEXT(D112,"mmmm")</f>
        <v>May</v>
      </c>
      <c r="F112" s="18">
        <f>YEAR(D112)</f>
        <v>2024</v>
      </c>
      <c r="G112" s="29">
        <v>45774</v>
      </c>
      <c r="H112" s="30">
        <f>G112-D112</f>
        <v>340</v>
      </c>
      <c r="I112" s="32">
        <v>490359</v>
      </c>
      <c r="J112" s="32">
        <f>I112*H112/365</f>
        <v>456772.76712328766</v>
      </c>
      <c r="K112" s="32">
        <f>J112*5%</f>
        <v>22838.638356164385</v>
      </c>
      <c r="L112" s="32">
        <v>5000</v>
      </c>
      <c r="M112" s="32">
        <f>SUM(J112:L112)</f>
        <v>484611.40547945205</v>
      </c>
      <c r="N112" t="s">
        <v>193</v>
      </c>
      <c r="O112" t="s">
        <v>27</v>
      </c>
    </row>
    <row r="113" spans="1:15" ht="15.75" customHeight="1">
      <c r="A113" s="27" t="s">
        <v>116</v>
      </c>
      <c r="B113" s="27" t="s">
        <v>34</v>
      </c>
      <c r="C113" s="27" t="s">
        <v>301</v>
      </c>
      <c r="D113" s="28">
        <v>45434</v>
      </c>
      <c r="E113" s="29" t="str">
        <f>TEXT(D113,"mmmm")</f>
        <v>May</v>
      </c>
      <c r="F113" s="18">
        <f>YEAR(D113)</f>
        <v>2024</v>
      </c>
      <c r="G113" s="29">
        <v>45774</v>
      </c>
      <c r="H113" s="30">
        <f>G113-D113</f>
        <v>340</v>
      </c>
      <c r="I113" s="32">
        <v>1207021</v>
      </c>
      <c r="J113" s="32">
        <f>I113*H113/365</f>
        <v>1124348.3287671234</v>
      </c>
      <c r="K113" s="32">
        <f>J113*5%</f>
        <v>56217.416438356173</v>
      </c>
      <c r="L113" s="32">
        <v>20000</v>
      </c>
      <c r="M113" s="32">
        <f>SUM(J113:L113)</f>
        <v>1200565.7452054797</v>
      </c>
      <c r="N113" t="s">
        <v>193</v>
      </c>
      <c r="O113" t="s">
        <v>27</v>
      </c>
    </row>
    <row r="114" spans="1:15" ht="15.75" customHeight="1">
      <c r="A114" s="27" t="s">
        <v>32</v>
      </c>
      <c r="B114" s="27" t="s">
        <v>28</v>
      </c>
      <c r="C114" s="27" t="s">
        <v>293</v>
      </c>
      <c r="D114" s="28">
        <v>45446</v>
      </c>
      <c r="E114" s="29" t="str">
        <f>TEXT(D114,"mmmm")</f>
        <v>June</v>
      </c>
      <c r="F114" s="18">
        <f>YEAR(D114)</f>
        <v>2024</v>
      </c>
      <c r="G114" s="29">
        <v>45701</v>
      </c>
      <c r="H114" s="30">
        <f>G114-D114+1</f>
        <v>256</v>
      </c>
      <c r="I114" s="32">
        <v>506911</v>
      </c>
      <c r="J114" s="32">
        <f>I114*H114/365</f>
        <v>355532.09863013698</v>
      </c>
      <c r="K114" s="32">
        <f>J114*5%</f>
        <v>17776.604931506849</v>
      </c>
      <c r="L114" s="32">
        <v>5000</v>
      </c>
      <c r="M114" s="32">
        <f>SUM(J114:L114)</f>
        <v>378308.70356164384</v>
      </c>
      <c r="N114" t="s">
        <v>193</v>
      </c>
      <c r="O114" t="s">
        <v>27</v>
      </c>
    </row>
    <row r="115" spans="1:15" ht="15.75" customHeight="1">
      <c r="A115" s="27" t="s">
        <v>32</v>
      </c>
      <c r="B115" s="27" t="s">
        <v>28</v>
      </c>
      <c r="C115" s="27" t="s">
        <v>294</v>
      </c>
      <c r="D115" s="28">
        <v>45446</v>
      </c>
      <c r="E115" s="29" t="str">
        <f>TEXT(D115,"mmmm")</f>
        <v>June</v>
      </c>
      <c r="F115" s="18">
        <f>YEAR(D115)</f>
        <v>2024</v>
      </c>
      <c r="G115" s="29">
        <v>45701</v>
      </c>
      <c r="H115" s="30">
        <f>G115-D115+1</f>
        <v>256</v>
      </c>
      <c r="I115" s="32">
        <v>1509102</v>
      </c>
      <c r="J115" s="32">
        <f>I115*H115/365</f>
        <v>1058438.6630136985</v>
      </c>
      <c r="K115" s="32">
        <f>J115*5%</f>
        <v>52921.933150684927</v>
      </c>
      <c r="L115" s="32">
        <v>25000</v>
      </c>
      <c r="M115" s="32">
        <f>SUM(J115:L115)</f>
        <v>1136360.5961643835</v>
      </c>
      <c r="N115" t="s">
        <v>193</v>
      </c>
      <c r="O115" t="s">
        <v>27</v>
      </c>
    </row>
    <row r="116" spans="1:15" ht="15.75" customHeight="1">
      <c r="A116" s="27" t="s">
        <v>32</v>
      </c>
      <c r="B116" s="27" t="s">
        <v>28</v>
      </c>
      <c r="C116" s="27" t="s">
        <v>295</v>
      </c>
      <c r="D116" s="28">
        <v>45446</v>
      </c>
      <c r="E116" s="29" t="str">
        <f>TEXT(D116,"mmmm")</f>
        <v>June</v>
      </c>
      <c r="F116" s="18">
        <f>YEAR(D116)</f>
        <v>2024</v>
      </c>
      <c r="G116" s="29">
        <v>45701</v>
      </c>
      <c r="H116" s="30">
        <f>G116-D116+1</f>
        <v>256</v>
      </c>
      <c r="I116" s="32">
        <v>506911</v>
      </c>
      <c r="J116" s="32">
        <f>I116*H116/365</f>
        <v>355532.09863013698</v>
      </c>
      <c r="K116" s="32">
        <f>J116*5%</f>
        <v>17776.604931506849</v>
      </c>
      <c r="L116" s="32">
        <v>5000</v>
      </c>
      <c r="M116" s="32">
        <f>SUM(J116:L116)</f>
        <v>378308.70356164384</v>
      </c>
      <c r="N116" t="s">
        <v>193</v>
      </c>
      <c r="O116" t="s">
        <v>27</v>
      </c>
    </row>
    <row r="117" spans="1:15" ht="15.75" customHeight="1">
      <c r="A117" s="27" t="s">
        <v>32</v>
      </c>
      <c r="B117" s="27" t="s">
        <v>28</v>
      </c>
      <c r="C117" s="27" t="s">
        <v>296</v>
      </c>
      <c r="D117" s="28">
        <v>45446</v>
      </c>
      <c r="E117" s="29" t="str">
        <f>TEXT(D117,"mmmm")</f>
        <v>June</v>
      </c>
      <c r="F117" s="18">
        <f>YEAR(D117)</f>
        <v>2024</v>
      </c>
      <c r="G117" s="29">
        <v>45701</v>
      </c>
      <c r="H117" s="30">
        <f>G117-D117+1</f>
        <v>256</v>
      </c>
      <c r="I117" s="32">
        <v>506911</v>
      </c>
      <c r="J117" s="32">
        <f>I117*H117/365</f>
        <v>355532.09863013698</v>
      </c>
      <c r="K117" s="32">
        <f>J117*5%</f>
        <v>17776.604931506849</v>
      </c>
      <c r="L117" s="32">
        <v>5000</v>
      </c>
      <c r="M117" s="32">
        <f>SUM(J117:L117)</f>
        <v>378308.70356164384</v>
      </c>
      <c r="N117" t="s">
        <v>193</v>
      </c>
      <c r="O117" t="s">
        <v>27</v>
      </c>
    </row>
    <row r="118" spans="1:15" ht="15.75" customHeight="1">
      <c r="A118" s="27" t="s">
        <v>191</v>
      </c>
      <c r="B118" s="27" t="s">
        <v>34</v>
      </c>
      <c r="C118" s="27" t="s">
        <v>309</v>
      </c>
      <c r="D118" s="28">
        <v>45446</v>
      </c>
      <c r="E118" s="29" t="str">
        <f>TEXT(D118,"mmmm")</f>
        <v>June</v>
      </c>
      <c r="F118" s="18">
        <f>YEAR(D118)</f>
        <v>2024</v>
      </c>
      <c r="G118" s="29">
        <v>45510</v>
      </c>
      <c r="H118" s="30">
        <f>G118-D118+1</f>
        <v>65</v>
      </c>
      <c r="I118" s="32">
        <v>891649</v>
      </c>
      <c r="J118" s="32">
        <f>I118*H118/365</f>
        <v>158786.80821917808</v>
      </c>
      <c r="K118" s="32">
        <f>J118*5%</f>
        <v>7939.3404109589046</v>
      </c>
      <c r="L118" s="32">
        <v>30000</v>
      </c>
      <c r="M118" s="32">
        <f>SUM(J118:L118)</f>
        <v>196726.148630137</v>
      </c>
      <c r="N118" t="s">
        <v>193</v>
      </c>
      <c r="O118" t="s">
        <v>27</v>
      </c>
    </row>
    <row r="119" spans="1:15" ht="15.75" customHeight="1">
      <c r="A119" s="27" t="s">
        <v>313</v>
      </c>
      <c r="B119" s="27" t="s">
        <v>28</v>
      </c>
      <c r="C119" s="96" t="s">
        <v>293</v>
      </c>
      <c r="D119" s="28">
        <v>45446</v>
      </c>
      <c r="E119" s="29" t="str">
        <f>TEXT(D119,"mmmm")</f>
        <v>June</v>
      </c>
      <c r="F119" s="18">
        <f>YEAR(D119)</f>
        <v>2024</v>
      </c>
      <c r="G119" s="100">
        <v>45701</v>
      </c>
      <c r="H119" s="102">
        <f>G119-D119+1</f>
        <v>256</v>
      </c>
      <c r="I119" s="32">
        <v>506911</v>
      </c>
      <c r="J119" s="103">
        <f>I119*H119/365</f>
        <v>355532.09863013698</v>
      </c>
      <c r="K119" s="104">
        <f>J119*5%</f>
        <v>17776.604931506849</v>
      </c>
      <c r="L119" s="104">
        <v>5000</v>
      </c>
      <c r="M119" s="104">
        <f>SUM(J119:L119)</f>
        <v>378308.70356164384</v>
      </c>
      <c r="N119" t="s">
        <v>193</v>
      </c>
      <c r="O119" t="s">
        <v>27</v>
      </c>
    </row>
    <row r="120" spans="1:15" ht="15.75" customHeight="1">
      <c r="A120" s="27" t="s">
        <v>313</v>
      </c>
      <c r="B120" s="27" t="s">
        <v>28</v>
      </c>
      <c r="C120" s="96" t="s">
        <v>294</v>
      </c>
      <c r="D120" s="28">
        <v>45446</v>
      </c>
      <c r="E120" s="29" t="str">
        <f>TEXT(D120,"mmmm")</f>
        <v>June</v>
      </c>
      <c r="F120" s="18">
        <f>YEAR(D120)</f>
        <v>2024</v>
      </c>
      <c r="G120" s="100">
        <v>45701</v>
      </c>
      <c r="H120" s="102">
        <f>G120-D120+1</f>
        <v>256</v>
      </c>
      <c r="I120" s="32">
        <v>1509102</v>
      </c>
      <c r="J120" s="103">
        <f>I120*H120/365</f>
        <v>1058438.6630136985</v>
      </c>
      <c r="K120" s="104">
        <f>J120*5%</f>
        <v>52921.933150684927</v>
      </c>
      <c r="L120" s="104">
        <v>25000</v>
      </c>
      <c r="M120" s="104">
        <f>SUM(J120:L120)</f>
        <v>1136360.5961643835</v>
      </c>
      <c r="N120" t="s">
        <v>193</v>
      </c>
      <c r="O120" t="s">
        <v>27</v>
      </c>
    </row>
    <row r="121" spans="1:15" ht="15.75" customHeight="1">
      <c r="A121" s="27" t="s">
        <v>313</v>
      </c>
      <c r="B121" s="27" t="s">
        <v>28</v>
      </c>
      <c r="C121" s="96" t="s">
        <v>295</v>
      </c>
      <c r="D121" s="28">
        <v>45446</v>
      </c>
      <c r="E121" s="29" t="str">
        <f>TEXT(D121,"mmmm")</f>
        <v>June</v>
      </c>
      <c r="F121" s="18">
        <f>YEAR(D121)</f>
        <v>2024</v>
      </c>
      <c r="G121" s="100">
        <v>45701</v>
      </c>
      <c r="H121" s="102">
        <f>G121-D121+1</f>
        <v>256</v>
      </c>
      <c r="I121" s="32">
        <v>506911</v>
      </c>
      <c r="J121" s="103">
        <f>I121*H121/365</f>
        <v>355532.09863013698</v>
      </c>
      <c r="K121" s="104">
        <f>J121*5%</f>
        <v>17776.604931506849</v>
      </c>
      <c r="L121" s="104">
        <v>5000</v>
      </c>
      <c r="M121" s="104">
        <f>SUM(J121:L121)</f>
        <v>378308.70356164384</v>
      </c>
      <c r="N121" t="s">
        <v>193</v>
      </c>
      <c r="O121" t="s">
        <v>27</v>
      </c>
    </row>
    <row r="122" spans="1:15" ht="15.75" customHeight="1">
      <c r="A122" s="27" t="s">
        <v>313</v>
      </c>
      <c r="B122" s="27" t="s">
        <v>28</v>
      </c>
      <c r="C122" s="96" t="s">
        <v>296</v>
      </c>
      <c r="D122" s="28">
        <v>45446</v>
      </c>
      <c r="E122" s="29" t="str">
        <f>TEXT(D122,"mmmm")</f>
        <v>June</v>
      </c>
      <c r="F122" s="18">
        <f>YEAR(D122)</f>
        <v>2024</v>
      </c>
      <c r="G122" s="100">
        <v>45701</v>
      </c>
      <c r="H122" s="102">
        <f>G122-D122+1</f>
        <v>256</v>
      </c>
      <c r="I122" s="32">
        <v>506911</v>
      </c>
      <c r="J122" s="103">
        <f>I122*H122/365</f>
        <v>355532.09863013698</v>
      </c>
      <c r="K122" s="104">
        <f>J122*5%</f>
        <v>17776.604931506849</v>
      </c>
      <c r="L122" s="104">
        <v>5000</v>
      </c>
      <c r="M122" s="104">
        <f>SUM(J122:L122)</f>
        <v>378308.70356164384</v>
      </c>
      <c r="N122" t="s">
        <v>193</v>
      </c>
      <c r="O122" t="s">
        <v>27</v>
      </c>
    </row>
    <row r="123" spans="1:15" ht="15.75" customHeight="1">
      <c r="A123" s="27" t="s">
        <v>290</v>
      </c>
      <c r="B123" s="27" t="s">
        <v>28</v>
      </c>
      <c r="C123" s="96" t="s">
        <v>291</v>
      </c>
      <c r="D123" s="28">
        <v>45448</v>
      </c>
      <c r="E123" s="29" t="str">
        <f>TEXT(D123,"mmmm")</f>
        <v>June</v>
      </c>
      <c r="F123" s="18">
        <f>YEAR(D123)</f>
        <v>2024</v>
      </c>
      <c r="G123" s="100">
        <v>45535</v>
      </c>
      <c r="H123" s="102">
        <f>G123-D123</f>
        <v>87</v>
      </c>
      <c r="I123" s="32">
        <v>1323842</v>
      </c>
      <c r="J123" s="103">
        <f>I123*H123/365</f>
        <v>315545.90136986302</v>
      </c>
      <c r="K123" s="104">
        <f>J123*5%</f>
        <v>15777.295068493151</v>
      </c>
      <c r="L123" s="104">
        <v>50000</v>
      </c>
      <c r="M123" s="104">
        <f>SUM(J123:L123)</f>
        <v>381323.19643835619</v>
      </c>
      <c r="N123" t="s">
        <v>193</v>
      </c>
      <c r="O123" t="s">
        <v>27</v>
      </c>
    </row>
    <row r="124" spans="1:15" ht="15.75" customHeight="1">
      <c r="A124" s="27" t="s">
        <v>290</v>
      </c>
      <c r="B124" s="27" t="s">
        <v>28</v>
      </c>
      <c r="C124" s="96" t="s">
        <v>292</v>
      </c>
      <c r="D124" s="98">
        <v>45448</v>
      </c>
      <c r="E124" s="29" t="str">
        <f>TEXT(D124,"mmmm")</f>
        <v>June</v>
      </c>
      <c r="F124" s="18">
        <f>YEAR(D124)</f>
        <v>2024</v>
      </c>
      <c r="G124" s="100">
        <v>45535</v>
      </c>
      <c r="H124" s="102">
        <f>G124-D124</f>
        <v>87</v>
      </c>
      <c r="I124" s="32">
        <v>828997</v>
      </c>
      <c r="J124" s="103">
        <f>I124*H124/365</f>
        <v>197596.54520547946</v>
      </c>
      <c r="K124" s="104">
        <f>J124*5%</f>
        <v>9879.8272602739744</v>
      </c>
      <c r="L124" s="104">
        <v>20000</v>
      </c>
      <c r="M124" s="104">
        <f>SUM(J124:L124)</f>
        <v>227476.37246575343</v>
      </c>
      <c r="N124" t="s">
        <v>193</v>
      </c>
      <c r="O124" t="s">
        <v>27</v>
      </c>
    </row>
    <row r="125" spans="1:15" ht="15.75" customHeight="1">
      <c r="A125" s="27" t="s">
        <v>135</v>
      </c>
      <c r="B125" s="27" t="s">
        <v>34</v>
      </c>
      <c r="C125" s="96" t="s">
        <v>304</v>
      </c>
      <c r="D125" s="98">
        <v>45456</v>
      </c>
      <c r="E125" s="29" t="str">
        <f>TEXT(D125,"mmmm")</f>
        <v>June</v>
      </c>
      <c r="F125" s="18">
        <f>YEAR(D125)</f>
        <v>2024</v>
      </c>
      <c r="G125" s="100">
        <v>45808</v>
      </c>
      <c r="H125" s="102">
        <f>G125-D125+1</f>
        <v>353</v>
      </c>
      <c r="I125" s="32">
        <v>1356540</v>
      </c>
      <c r="J125" s="103">
        <f>I125*H125/365</f>
        <v>1311941.4246575343</v>
      </c>
      <c r="K125" s="104">
        <f>J125*5%</f>
        <v>65597.071232876726</v>
      </c>
      <c r="L125" s="104">
        <v>25000</v>
      </c>
      <c r="M125" s="104">
        <f>SUM(J125:L125)</f>
        <v>1402538.4958904111</v>
      </c>
      <c r="N125" t="s">
        <v>193</v>
      </c>
      <c r="O125" t="s">
        <v>27</v>
      </c>
    </row>
    <row r="126" spans="1:15" ht="15.75" customHeight="1">
      <c r="A126" s="27" t="s">
        <v>55</v>
      </c>
      <c r="B126" s="27" t="s">
        <v>28</v>
      </c>
      <c r="C126" s="38" t="s">
        <v>333</v>
      </c>
      <c r="D126" s="41">
        <v>45462</v>
      </c>
      <c r="E126" s="29" t="str">
        <f>TEXT(D126,"mmmm")</f>
        <v>June</v>
      </c>
      <c r="F126" s="18">
        <f>YEAR(D126)</f>
        <v>2024</v>
      </c>
      <c r="G126" s="39">
        <v>45422</v>
      </c>
      <c r="H126" s="40">
        <v>109</v>
      </c>
      <c r="I126" s="43">
        <v>377700</v>
      </c>
      <c r="J126" s="44">
        <v>112793</v>
      </c>
      <c r="K126" s="45">
        <v>5640</v>
      </c>
      <c r="L126" s="45">
        <v>3000</v>
      </c>
      <c r="M126" s="45">
        <v>121432</v>
      </c>
      <c r="N126" t="s">
        <v>193</v>
      </c>
      <c r="O126" t="s">
        <v>27</v>
      </c>
    </row>
    <row r="127" spans="1:15" ht="15.75" customHeight="1">
      <c r="A127" s="27" t="s">
        <v>55</v>
      </c>
      <c r="B127" s="27" t="s">
        <v>28</v>
      </c>
      <c r="C127" s="38" t="s">
        <v>334</v>
      </c>
      <c r="D127" s="41">
        <v>45462</v>
      </c>
      <c r="E127" s="29" t="str">
        <f>TEXT(D127,"mmmm")</f>
        <v>June</v>
      </c>
      <c r="F127" s="18">
        <f>YEAR(D127)</f>
        <v>2024</v>
      </c>
      <c r="G127" s="39">
        <v>45422</v>
      </c>
      <c r="H127" s="40">
        <v>109</v>
      </c>
      <c r="I127" s="43">
        <v>377700</v>
      </c>
      <c r="J127" s="44">
        <v>112793</v>
      </c>
      <c r="K127" s="45">
        <v>5640</v>
      </c>
      <c r="L127" s="45">
        <v>3000</v>
      </c>
      <c r="M127" s="45">
        <v>121432</v>
      </c>
      <c r="N127" t="s">
        <v>193</v>
      </c>
      <c r="O127" t="s">
        <v>27</v>
      </c>
    </row>
    <row r="128" spans="1:15" ht="15.75" customHeight="1">
      <c r="A128" s="27" t="s">
        <v>55</v>
      </c>
      <c r="B128" s="27" t="s">
        <v>28</v>
      </c>
      <c r="C128" s="38" t="s">
        <v>335</v>
      </c>
      <c r="D128" s="41">
        <v>45462</v>
      </c>
      <c r="E128" s="29" t="str">
        <f>TEXT(D128,"mmmm")</f>
        <v>June</v>
      </c>
      <c r="F128" s="18">
        <f>YEAR(D128)</f>
        <v>2024</v>
      </c>
      <c r="G128" s="39">
        <v>45422</v>
      </c>
      <c r="H128" s="40">
        <v>109</v>
      </c>
      <c r="I128" s="43">
        <v>377700</v>
      </c>
      <c r="J128" s="44">
        <v>112793</v>
      </c>
      <c r="K128" s="45">
        <v>5640</v>
      </c>
      <c r="L128" s="45">
        <v>3000</v>
      </c>
      <c r="M128" s="45">
        <v>121432</v>
      </c>
      <c r="N128" t="s">
        <v>193</v>
      </c>
      <c r="O128" t="s">
        <v>27</v>
      </c>
    </row>
    <row r="129" spans="1:15" ht="15.75" customHeight="1">
      <c r="A129" s="27" t="s">
        <v>55</v>
      </c>
      <c r="B129" s="27" t="s">
        <v>28</v>
      </c>
      <c r="C129" s="38" t="s">
        <v>336</v>
      </c>
      <c r="D129" s="41">
        <v>45462</v>
      </c>
      <c r="E129" s="29" t="str">
        <f>TEXT(D129,"mmmm")</f>
        <v>June</v>
      </c>
      <c r="F129" s="18">
        <f>YEAR(D129)</f>
        <v>2024</v>
      </c>
      <c r="G129" s="39">
        <v>45422</v>
      </c>
      <c r="H129" s="40">
        <v>109</v>
      </c>
      <c r="I129" s="43">
        <v>377700</v>
      </c>
      <c r="J129" s="44">
        <v>112793</v>
      </c>
      <c r="K129" s="45">
        <v>5640</v>
      </c>
      <c r="L129" s="45">
        <v>3000</v>
      </c>
      <c r="M129" s="45">
        <v>121432</v>
      </c>
      <c r="N129" t="s">
        <v>193</v>
      </c>
      <c r="O129" t="s">
        <v>27</v>
      </c>
    </row>
    <row r="130" spans="1:15" ht="15.75" customHeight="1">
      <c r="A130" s="27" t="s">
        <v>55</v>
      </c>
      <c r="B130" s="27" t="s">
        <v>28</v>
      </c>
      <c r="C130" s="38" t="s">
        <v>337</v>
      </c>
      <c r="D130" s="41">
        <v>45462</v>
      </c>
      <c r="E130" s="29" t="str">
        <f>TEXT(D130,"mmmm")</f>
        <v>June</v>
      </c>
      <c r="F130" s="18">
        <f>YEAR(D130)</f>
        <v>2024</v>
      </c>
      <c r="G130" s="39">
        <v>45422</v>
      </c>
      <c r="H130" s="40">
        <v>109</v>
      </c>
      <c r="I130" s="43">
        <v>377700</v>
      </c>
      <c r="J130" s="44">
        <v>112793</v>
      </c>
      <c r="K130" s="45">
        <v>5640</v>
      </c>
      <c r="L130" s="45">
        <v>3000</v>
      </c>
      <c r="M130" s="45">
        <v>121432</v>
      </c>
      <c r="N130" t="s">
        <v>193</v>
      </c>
      <c r="O130" t="s">
        <v>27</v>
      </c>
    </row>
    <row r="131" spans="1:15" ht="15.75" customHeight="1">
      <c r="A131" s="27" t="s">
        <v>55</v>
      </c>
      <c r="B131" s="27" t="s">
        <v>28</v>
      </c>
      <c r="C131" s="38" t="s">
        <v>338</v>
      </c>
      <c r="D131" s="41">
        <v>45462</v>
      </c>
      <c r="E131" s="29" t="str">
        <f>TEXT(D131,"mmmm")</f>
        <v>June</v>
      </c>
      <c r="F131" s="18">
        <f>YEAR(D131)</f>
        <v>2024</v>
      </c>
      <c r="G131" s="39">
        <v>45422</v>
      </c>
      <c r="H131" s="40">
        <v>109</v>
      </c>
      <c r="I131" s="43">
        <v>377700</v>
      </c>
      <c r="J131" s="44">
        <v>112793</v>
      </c>
      <c r="K131" s="45">
        <v>5640</v>
      </c>
      <c r="L131" s="45">
        <v>3000</v>
      </c>
      <c r="M131" s="45">
        <v>121432</v>
      </c>
      <c r="N131" t="s">
        <v>193</v>
      </c>
      <c r="O131" t="s">
        <v>27</v>
      </c>
    </row>
    <row r="132" spans="1:15" ht="15.75" customHeight="1">
      <c r="A132" s="27" t="s">
        <v>55</v>
      </c>
      <c r="B132" s="27" t="s">
        <v>28</v>
      </c>
      <c r="C132" s="38" t="s">
        <v>339</v>
      </c>
      <c r="D132" s="41">
        <v>45462</v>
      </c>
      <c r="E132" s="29" t="str">
        <f>TEXT(D132,"mmmm")</f>
        <v>June</v>
      </c>
      <c r="F132" s="18">
        <f>YEAR(D132)</f>
        <v>2024</v>
      </c>
      <c r="G132" s="39">
        <v>45422</v>
      </c>
      <c r="H132" s="40">
        <v>109</v>
      </c>
      <c r="I132" s="43">
        <v>377700</v>
      </c>
      <c r="J132" s="44">
        <v>112793</v>
      </c>
      <c r="K132" s="45">
        <v>5640</v>
      </c>
      <c r="L132" s="45">
        <v>6000</v>
      </c>
      <c r="M132" s="45">
        <v>124432</v>
      </c>
      <c r="N132" t="s">
        <v>193</v>
      </c>
      <c r="O132" t="s">
        <v>27</v>
      </c>
    </row>
    <row r="133" spans="1:15" ht="15.75" customHeight="1">
      <c r="A133" s="27" t="s">
        <v>55</v>
      </c>
      <c r="B133" s="27" t="s">
        <v>28</v>
      </c>
      <c r="C133" s="38" t="s">
        <v>340</v>
      </c>
      <c r="D133" s="41">
        <v>45462</v>
      </c>
      <c r="E133" s="29" t="str">
        <f>TEXT(D133,"mmmm")</f>
        <v>June</v>
      </c>
      <c r="F133" s="18">
        <f>YEAR(D133)</f>
        <v>2024</v>
      </c>
      <c r="G133" s="39">
        <v>45422</v>
      </c>
      <c r="H133" s="40">
        <v>109</v>
      </c>
      <c r="I133" s="43">
        <v>377700</v>
      </c>
      <c r="J133" s="44">
        <v>112793</v>
      </c>
      <c r="K133" s="45">
        <v>5640</v>
      </c>
      <c r="L133" s="45">
        <v>6000</v>
      </c>
      <c r="M133" s="45">
        <v>124432</v>
      </c>
      <c r="N133" t="s">
        <v>193</v>
      </c>
      <c r="O133" t="s">
        <v>27</v>
      </c>
    </row>
    <row r="134" spans="1:15" ht="15.75" customHeight="1">
      <c r="A134" s="27" t="s">
        <v>55</v>
      </c>
      <c r="B134" s="27" t="s">
        <v>28</v>
      </c>
      <c r="C134" s="38" t="s">
        <v>341</v>
      </c>
      <c r="D134" s="41">
        <v>45462</v>
      </c>
      <c r="E134" s="29" t="str">
        <f>TEXT(D134,"mmmm")</f>
        <v>June</v>
      </c>
      <c r="F134" s="18">
        <f>YEAR(D134)</f>
        <v>2024</v>
      </c>
      <c r="G134" s="39">
        <v>45422</v>
      </c>
      <c r="H134" s="40">
        <v>109</v>
      </c>
      <c r="I134" s="43">
        <v>377700</v>
      </c>
      <c r="J134" s="44">
        <v>112793</v>
      </c>
      <c r="K134" s="45">
        <v>5640</v>
      </c>
      <c r="L134" s="45">
        <v>3000</v>
      </c>
      <c r="M134" s="45">
        <v>121432</v>
      </c>
      <c r="N134" t="s">
        <v>193</v>
      </c>
      <c r="O134" t="s">
        <v>27</v>
      </c>
    </row>
    <row r="135" spans="1:15" ht="15.75" customHeight="1">
      <c r="A135" s="27" t="s">
        <v>55</v>
      </c>
      <c r="B135" s="27" t="s">
        <v>28</v>
      </c>
      <c r="C135" s="38" t="s">
        <v>342</v>
      </c>
      <c r="D135" s="41">
        <v>45462</v>
      </c>
      <c r="E135" s="29" t="str">
        <f>TEXT(D135,"mmmm")</f>
        <v>June</v>
      </c>
      <c r="F135" s="18">
        <f>YEAR(D135)</f>
        <v>2024</v>
      </c>
      <c r="G135" s="39">
        <v>45422</v>
      </c>
      <c r="H135" s="40">
        <v>109</v>
      </c>
      <c r="I135" s="43">
        <v>377700</v>
      </c>
      <c r="J135" s="44">
        <v>112793</v>
      </c>
      <c r="K135" s="45">
        <v>5640</v>
      </c>
      <c r="L135" s="45">
        <v>3000</v>
      </c>
      <c r="M135" s="45">
        <v>121432</v>
      </c>
      <c r="N135" t="s">
        <v>193</v>
      </c>
      <c r="O135" t="s">
        <v>27</v>
      </c>
    </row>
    <row r="136" spans="1:15" ht="15.75" customHeight="1">
      <c r="A136" s="27" t="s">
        <v>55</v>
      </c>
      <c r="B136" s="27" t="s">
        <v>28</v>
      </c>
      <c r="C136" s="38" t="s">
        <v>343</v>
      </c>
      <c r="D136" s="41">
        <v>45462</v>
      </c>
      <c r="E136" s="29" t="str">
        <f>TEXT(D136,"mmmm")</f>
        <v>June</v>
      </c>
      <c r="F136" s="18">
        <f>YEAR(D136)</f>
        <v>2024</v>
      </c>
      <c r="G136" s="39">
        <v>45422</v>
      </c>
      <c r="H136" s="40">
        <v>109</v>
      </c>
      <c r="I136" s="43">
        <v>377700</v>
      </c>
      <c r="J136" s="44">
        <v>112793</v>
      </c>
      <c r="K136" s="45">
        <v>5640</v>
      </c>
      <c r="L136" s="45">
        <v>3000</v>
      </c>
      <c r="M136" s="45">
        <v>121432</v>
      </c>
      <c r="N136" t="s">
        <v>193</v>
      </c>
      <c r="O136" t="s">
        <v>27</v>
      </c>
    </row>
    <row r="137" spans="1:15" ht="15.75" customHeight="1">
      <c r="A137" s="27" t="s">
        <v>55</v>
      </c>
      <c r="B137" s="27" t="s">
        <v>28</v>
      </c>
      <c r="C137" s="38" t="s">
        <v>344</v>
      </c>
      <c r="D137" s="41">
        <v>45462</v>
      </c>
      <c r="E137" s="29" t="str">
        <f>TEXT(D137,"mmmm")</f>
        <v>June</v>
      </c>
      <c r="F137" s="18">
        <f>YEAR(D137)</f>
        <v>2024</v>
      </c>
      <c r="G137" s="39">
        <v>45422</v>
      </c>
      <c r="H137" s="40">
        <v>109</v>
      </c>
      <c r="I137" s="43">
        <v>377700</v>
      </c>
      <c r="J137" s="44">
        <v>112793</v>
      </c>
      <c r="K137" s="45">
        <v>5640</v>
      </c>
      <c r="L137" s="45">
        <v>3000</v>
      </c>
      <c r="M137" s="45">
        <v>121432</v>
      </c>
      <c r="N137" t="s">
        <v>193</v>
      </c>
      <c r="O137" t="s">
        <v>27</v>
      </c>
    </row>
    <row r="138" spans="1:15" ht="15.75" customHeight="1">
      <c r="A138" s="27" t="s">
        <v>55</v>
      </c>
      <c r="B138" s="27" t="s">
        <v>28</v>
      </c>
      <c r="C138" s="38" t="s">
        <v>345</v>
      </c>
      <c r="D138" s="41">
        <v>45462</v>
      </c>
      <c r="E138" s="29" t="str">
        <f>TEXT(D138,"mmmm")</f>
        <v>June</v>
      </c>
      <c r="F138" s="18">
        <f>YEAR(D138)</f>
        <v>2024</v>
      </c>
      <c r="G138" s="39">
        <v>45422</v>
      </c>
      <c r="H138" s="40">
        <v>109</v>
      </c>
      <c r="I138" s="43">
        <v>377700</v>
      </c>
      <c r="J138" s="44">
        <v>112793</v>
      </c>
      <c r="K138" s="45">
        <v>5640</v>
      </c>
      <c r="L138" s="45">
        <v>3000</v>
      </c>
      <c r="M138" s="45">
        <v>121432</v>
      </c>
      <c r="N138" t="s">
        <v>193</v>
      </c>
      <c r="O138" t="s">
        <v>27</v>
      </c>
    </row>
    <row r="139" spans="1:15" ht="15.75" customHeight="1">
      <c r="A139" s="27" t="s">
        <v>55</v>
      </c>
      <c r="B139" s="27" t="s">
        <v>28</v>
      </c>
      <c r="C139" s="38" t="s">
        <v>346</v>
      </c>
      <c r="D139" s="41">
        <v>45462</v>
      </c>
      <c r="E139" s="29" t="str">
        <f>TEXT(D139,"mmmm")</f>
        <v>June</v>
      </c>
      <c r="F139" s="18">
        <f>YEAR(D139)</f>
        <v>2024</v>
      </c>
      <c r="G139" s="39">
        <v>45422</v>
      </c>
      <c r="H139" s="40">
        <v>109</v>
      </c>
      <c r="I139" s="43">
        <v>377700</v>
      </c>
      <c r="J139" s="44">
        <v>112793</v>
      </c>
      <c r="K139" s="45">
        <v>5640</v>
      </c>
      <c r="L139" s="45">
        <v>3000</v>
      </c>
      <c r="M139" s="45">
        <v>121432</v>
      </c>
      <c r="N139" t="s">
        <v>193</v>
      </c>
      <c r="O139" t="s">
        <v>27</v>
      </c>
    </row>
    <row r="140" spans="1:15" ht="15.75" customHeight="1">
      <c r="A140" s="27" t="s">
        <v>55</v>
      </c>
      <c r="B140" s="27" t="s">
        <v>28</v>
      </c>
      <c r="C140" s="38" t="s">
        <v>347</v>
      </c>
      <c r="D140" s="41">
        <v>45462</v>
      </c>
      <c r="E140" s="29" t="str">
        <f>TEXT(D140,"mmmm")</f>
        <v>June</v>
      </c>
      <c r="F140" s="18">
        <f>YEAR(D140)</f>
        <v>2024</v>
      </c>
      <c r="G140" s="39">
        <v>45422</v>
      </c>
      <c r="H140" s="40">
        <v>109</v>
      </c>
      <c r="I140" s="43">
        <v>377700</v>
      </c>
      <c r="J140" s="44">
        <v>112793</v>
      </c>
      <c r="K140" s="45">
        <v>5640</v>
      </c>
      <c r="L140" s="45">
        <v>3000</v>
      </c>
      <c r="M140" s="45">
        <v>121432</v>
      </c>
      <c r="N140" t="s">
        <v>193</v>
      </c>
      <c r="O140" t="s">
        <v>27</v>
      </c>
    </row>
    <row r="141" spans="1:15" ht="15.75" customHeight="1">
      <c r="A141" s="27" t="s">
        <v>55</v>
      </c>
      <c r="B141" s="27" t="s">
        <v>28</v>
      </c>
      <c r="C141" s="38" t="s">
        <v>348</v>
      </c>
      <c r="D141" s="41">
        <v>45463</v>
      </c>
      <c r="E141" s="29" t="str">
        <f>TEXT(D141,"mmmm")</f>
        <v>June</v>
      </c>
      <c r="F141" s="18">
        <f>YEAR(D141)</f>
        <v>2024</v>
      </c>
      <c r="G141" s="39">
        <v>45422</v>
      </c>
      <c r="H141" s="40">
        <v>108</v>
      </c>
      <c r="I141" s="43">
        <v>377700</v>
      </c>
      <c r="J141" s="44">
        <v>111758</v>
      </c>
      <c r="K141" s="45">
        <v>5588</v>
      </c>
      <c r="L141" s="45">
        <v>3000</v>
      </c>
      <c r="M141" s="45">
        <v>120346</v>
      </c>
      <c r="N141" t="s">
        <v>193</v>
      </c>
      <c r="O141" t="s">
        <v>27</v>
      </c>
    </row>
    <row r="142" spans="1:15" ht="15.75" customHeight="1">
      <c r="A142" s="27" t="s">
        <v>381</v>
      </c>
      <c r="B142" s="27" t="s">
        <v>28</v>
      </c>
      <c r="C142" s="96" t="s">
        <v>382</v>
      </c>
      <c r="D142" s="98">
        <v>45463</v>
      </c>
      <c r="E142" s="29" t="str">
        <f>TEXT(D142,"mmmm")</f>
        <v>June</v>
      </c>
      <c r="F142" s="18">
        <f>YEAR(D142)</f>
        <v>2024</v>
      </c>
      <c r="G142" s="100">
        <v>45777</v>
      </c>
      <c r="H142" s="102">
        <f>G142-D142+1</f>
        <v>315</v>
      </c>
      <c r="I142" s="32">
        <v>801375</v>
      </c>
      <c r="J142" s="103">
        <f>I142*H142/365</f>
        <v>691597.60273972608</v>
      </c>
      <c r="K142" s="104">
        <f>J142*5%</f>
        <v>34579.880136986307</v>
      </c>
      <c r="L142" s="104">
        <v>50000</v>
      </c>
      <c r="M142" s="104">
        <f>SUM(J142:L142)</f>
        <v>776177.48287671234</v>
      </c>
      <c r="N142" t="s">
        <v>193</v>
      </c>
      <c r="O142" t="s">
        <v>27</v>
      </c>
    </row>
    <row r="143" spans="1:15" ht="15.75" customHeight="1">
      <c r="A143" s="27" t="s">
        <v>381</v>
      </c>
      <c r="B143" s="27" t="s">
        <v>28</v>
      </c>
      <c r="C143" s="96" t="s">
        <v>383</v>
      </c>
      <c r="D143" s="98">
        <v>45463</v>
      </c>
      <c r="E143" s="29" t="str">
        <f>TEXT(D143,"mmmm")</f>
        <v>June</v>
      </c>
      <c r="F143" s="18">
        <f>YEAR(D143)</f>
        <v>2024</v>
      </c>
      <c r="G143" s="100">
        <v>45777</v>
      </c>
      <c r="H143" s="102">
        <f>G143-D143+1</f>
        <v>315</v>
      </c>
      <c r="I143" s="32">
        <v>801375</v>
      </c>
      <c r="J143" s="103">
        <f>I143*H143/365</f>
        <v>691597.60273972608</v>
      </c>
      <c r="K143" s="104">
        <f>J143*5%</f>
        <v>34579.880136986307</v>
      </c>
      <c r="L143" s="104">
        <v>10000</v>
      </c>
      <c r="M143" s="104">
        <f>SUM(J143:L143)</f>
        <v>736177.48287671234</v>
      </c>
      <c r="N143" t="s">
        <v>193</v>
      </c>
      <c r="O143" t="s">
        <v>27</v>
      </c>
    </row>
    <row r="144" spans="1:15" ht="15.75" customHeight="1">
      <c r="A144" s="27" t="s">
        <v>381</v>
      </c>
      <c r="B144" s="27" t="s">
        <v>28</v>
      </c>
      <c r="C144" s="96" t="s">
        <v>384</v>
      </c>
      <c r="D144" s="98">
        <v>45463</v>
      </c>
      <c r="E144" s="29" t="str">
        <f>TEXT(D144,"mmmm")</f>
        <v>June</v>
      </c>
      <c r="F144" s="18">
        <f>YEAR(D144)</f>
        <v>2024</v>
      </c>
      <c r="G144" s="100">
        <v>45777</v>
      </c>
      <c r="H144" s="102">
        <f>G144-D144+1</f>
        <v>315</v>
      </c>
      <c r="I144" s="32">
        <v>801375</v>
      </c>
      <c r="J144" s="103">
        <f>I144*H144/365</f>
        <v>691597.60273972608</v>
      </c>
      <c r="K144" s="104">
        <f>J144*5%</f>
        <v>34579.880136986307</v>
      </c>
      <c r="L144" s="104">
        <v>10000</v>
      </c>
      <c r="M144" s="104">
        <f>SUM(J144:L144)</f>
        <v>736177.48287671234</v>
      </c>
      <c r="N144" t="s">
        <v>193</v>
      </c>
      <c r="O144" t="s">
        <v>27</v>
      </c>
    </row>
    <row r="145" spans="1:15" ht="15.75" customHeight="1">
      <c r="A145" s="27" t="s">
        <v>116</v>
      </c>
      <c r="B145" s="27" t="s">
        <v>34</v>
      </c>
      <c r="C145" s="96" t="s">
        <v>310</v>
      </c>
      <c r="D145" s="98">
        <v>45464</v>
      </c>
      <c r="E145" s="29" t="str">
        <f>TEXT(D145,"mmmm")</f>
        <v>June</v>
      </c>
      <c r="F145" s="18">
        <f>YEAR(D145)</f>
        <v>2024</v>
      </c>
      <c r="G145" s="100">
        <v>45774</v>
      </c>
      <c r="H145" s="102">
        <f>G145-D145+1</f>
        <v>311</v>
      </c>
      <c r="I145" s="32">
        <v>198573</v>
      </c>
      <c r="J145" s="103">
        <f>I145*H145/365</f>
        <v>169195.07671232877</v>
      </c>
      <c r="K145" s="104">
        <f>J145*5%</f>
        <v>8459.7538356164387</v>
      </c>
      <c r="L145" s="104">
        <v>5000</v>
      </c>
      <c r="M145" s="104">
        <f>SUM(J145:L145)</f>
        <v>182654.8305479452</v>
      </c>
      <c r="N145" t="s">
        <v>193</v>
      </c>
      <c r="O145" t="s">
        <v>27</v>
      </c>
    </row>
    <row r="146" spans="1:15" ht="15.75" customHeight="1">
      <c r="A146" s="27" t="s">
        <v>116</v>
      </c>
      <c r="B146" s="27" t="s">
        <v>34</v>
      </c>
      <c r="C146" s="96" t="s">
        <v>311</v>
      </c>
      <c r="D146" s="98">
        <v>45464</v>
      </c>
      <c r="E146" s="29" t="str">
        <f>TEXT(D146,"mmmm")</f>
        <v>June</v>
      </c>
      <c r="F146" s="18">
        <f>YEAR(D146)</f>
        <v>2024</v>
      </c>
      <c r="G146" s="100">
        <v>45774</v>
      </c>
      <c r="H146" s="102">
        <f>G146-D146+1</f>
        <v>311</v>
      </c>
      <c r="I146" s="32">
        <v>137219</v>
      </c>
      <c r="J146" s="103">
        <f>I146*H146/365</f>
        <v>116918.10684931507</v>
      </c>
      <c r="K146" s="104">
        <f>J146*5%</f>
        <v>5845.9053424657541</v>
      </c>
      <c r="L146" s="104">
        <v>5000</v>
      </c>
      <c r="M146" s="104">
        <f>SUM(J146:L146)</f>
        <v>127764.01219178081</v>
      </c>
      <c r="N146" t="s">
        <v>193</v>
      </c>
      <c r="O146" t="s">
        <v>27</v>
      </c>
    </row>
    <row r="147" spans="1:15" ht="15.75" customHeight="1">
      <c r="A147" s="27" t="s">
        <v>116</v>
      </c>
      <c r="B147" s="27" t="s">
        <v>34</v>
      </c>
      <c r="C147" s="96" t="s">
        <v>312</v>
      </c>
      <c r="D147" s="98">
        <v>45464</v>
      </c>
      <c r="E147" s="29" t="str">
        <f>TEXT(D147,"mmmm")</f>
        <v>June</v>
      </c>
      <c r="F147" s="18">
        <f>YEAR(D147)</f>
        <v>2024</v>
      </c>
      <c r="G147" s="100">
        <v>45774</v>
      </c>
      <c r="H147" s="102">
        <f>G147-D147+1</f>
        <v>311</v>
      </c>
      <c r="I147" s="32">
        <v>186304</v>
      </c>
      <c r="J147" s="103">
        <f>I147*H147/365</f>
        <v>158741.21643835618</v>
      </c>
      <c r="K147" s="104">
        <f>J147*5%</f>
        <v>7937.0608219178093</v>
      </c>
      <c r="L147" s="104">
        <v>5000</v>
      </c>
      <c r="M147" s="104">
        <f>SUM(J147:L147)</f>
        <v>171678.27726027399</v>
      </c>
      <c r="N147" t="s">
        <v>193</v>
      </c>
      <c r="O147" t="s">
        <v>27</v>
      </c>
    </row>
    <row r="148" spans="1:15" ht="15.75" customHeight="1">
      <c r="A148" s="27" t="s">
        <v>55</v>
      </c>
      <c r="B148" s="27" t="s">
        <v>28</v>
      </c>
      <c r="C148" s="96" t="s">
        <v>314</v>
      </c>
      <c r="D148" s="98">
        <v>45466</v>
      </c>
      <c r="E148" s="29" t="str">
        <f>TEXT(D148,"mmmm")</f>
        <v>June</v>
      </c>
      <c r="F148" s="18">
        <f>YEAR(D148)</f>
        <v>2024</v>
      </c>
      <c r="G148" s="100">
        <v>45422</v>
      </c>
      <c r="H148" s="102">
        <v>136</v>
      </c>
      <c r="I148" s="32">
        <v>377700</v>
      </c>
      <c r="J148" s="103">
        <v>140732</v>
      </c>
      <c r="K148" s="104">
        <v>7037</v>
      </c>
      <c r="L148" s="104">
        <v>3000</v>
      </c>
      <c r="M148" s="104">
        <v>150769</v>
      </c>
      <c r="N148" t="s">
        <v>193</v>
      </c>
      <c r="O148" t="s">
        <v>27</v>
      </c>
    </row>
    <row r="149" spans="1:15" ht="15.75" customHeight="1">
      <c r="A149" s="27" t="s">
        <v>55</v>
      </c>
      <c r="B149" s="27" t="s">
        <v>28</v>
      </c>
      <c r="C149" s="38" t="s">
        <v>315</v>
      </c>
      <c r="D149" s="98">
        <v>45467</v>
      </c>
      <c r="E149" s="29" t="str">
        <f>TEXT(D149,"mmmm")</f>
        <v>June</v>
      </c>
      <c r="F149" s="18">
        <f>YEAR(D149)</f>
        <v>2024</v>
      </c>
      <c r="G149" s="39">
        <v>45422</v>
      </c>
      <c r="H149" s="40">
        <v>136</v>
      </c>
      <c r="I149" s="43">
        <v>377700</v>
      </c>
      <c r="J149" s="44">
        <v>140732</v>
      </c>
      <c r="K149" s="45">
        <v>7037</v>
      </c>
      <c r="L149" s="45">
        <v>3000</v>
      </c>
      <c r="M149" s="45">
        <v>150769</v>
      </c>
      <c r="N149" t="s">
        <v>193</v>
      </c>
      <c r="O149" t="s">
        <v>27</v>
      </c>
    </row>
    <row r="150" spans="1:15" ht="15.75" customHeight="1">
      <c r="A150" s="27" t="s">
        <v>55</v>
      </c>
      <c r="B150" s="27" t="s">
        <v>28</v>
      </c>
      <c r="C150" s="38" t="s">
        <v>349</v>
      </c>
      <c r="D150" s="41">
        <v>45467</v>
      </c>
      <c r="E150" s="29" t="str">
        <f>TEXT(D150,"mmmm")</f>
        <v>June</v>
      </c>
      <c r="F150" s="18">
        <f>YEAR(D150)</f>
        <v>2024</v>
      </c>
      <c r="G150" s="39">
        <v>45422</v>
      </c>
      <c r="H150" s="40">
        <v>104</v>
      </c>
      <c r="I150" s="43">
        <v>377700</v>
      </c>
      <c r="J150" s="44">
        <v>107619</v>
      </c>
      <c r="K150" s="45">
        <v>5381</v>
      </c>
      <c r="L150" s="45">
        <v>3000</v>
      </c>
      <c r="M150" s="45">
        <v>116000</v>
      </c>
      <c r="N150" t="s">
        <v>193</v>
      </c>
      <c r="O150" t="s">
        <v>27</v>
      </c>
    </row>
    <row r="151" spans="1:15" ht="15.75" customHeight="1">
      <c r="A151" s="27" t="s">
        <v>55</v>
      </c>
      <c r="B151" s="27" t="s">
        <v>28</v>
      </c>
      <c r="C151" s="38" t="s">
        <v>316</v>
      </c>
      <c r="D151" s="98">
        <v>45468</v>
      </c>
      <c r="E151" s="29" t="str">
        <f>TEXT(D151,"mmmm")</f>
        <v>June</v>
      </c>
      <c r="F151" s="18">
        <f>YEAR(D151)</f>
        <v>2024</v>
      </c>
      <c r="G151" s="39">
        <v>45422</v>
      </c>
      <c r="H151" s="40">
        <v>136</v>
      </c>
      <c r="I151" s="43">
        <v>377700</v>
      </c>
      <c r="J151" s="44">
        <v>140732</v>
      </c>
      <c r="K151" s="45">
        <v>7037</v>
      </c>
      <c r="L151" s="45">
        <v>3000</v>
      </c>
      <c r="M151" s="45">
        <v>150769</v>
      </c>
      <c r="N151" t="s">
        <v>193</v>
      </c>
      <c r="O151" t="s">
        <v>27</v>
      </c>
    </row>
    <row r="152" spans="1:15" ht="15.75" customHeight="1">
      <c r="A152" s="27" t="s">
        <v>55</v>
      </c>
      <c r="B152" s="27" t="s">
        <v>28</v>
      </c>
      <c r="C152" s="38" t="s">
        <v>317</v>
      </c>
      <c r="D152" s="98">
        <v>45469</v>
      </c>
      <c r="E152" s="29" t="str">
        <f>TEXT(D152,"mmmm")</f>
        <v>June</v>
      </c>
      <c r="F152" s="18">
        <f>YEAR(D152)</f>
        <v>2024</v>
      </c>
      <c r="G152" s="39">
        <v>45422</v>
      </c>
      <c r="H152" s="40">
        <v>136</v>
      </c>
      <c r="I152" s="43">
        <v>377700</v>
      </c>
      <c r="J152" s="44">
        <v>140732</v>
      </c>
      <c r="K152" s="45">
        <v>7037</v>
      </c>
      <c r="L152" s="45">
        <v>3000</v>
      </c>
      <c r="M152" s="45">
        <v>150769</v>
      </c>
      <c r="N152" t="s">
        <v>193</v>
      </c>
      <c r="O152" t="s">
        <v>27</v>
      </c>
    </row>
    <row r="153" spans="1:15" ht="15.75" customHeight="1">
      <c r="A153" s="27" t="s">
        <v>55</v>
      </c>
      <c r="B153" s="27" t="s">
        <v>28</v>
      </c>
      <c r="C153" s="38" t="s">
        <v>350</v>
      </c>
      <c r="D153" s="41">
        <v>45469</v>
      </c>
      <c r="E153" s="29" t="str">
        <f>TEXT(D153,"mmmm")</f>
        <v>June</v>
      </c>
      <c r="F153" s="18">
        <f>YEAR(D153)</f>
        <v>2024</v>
      </c>
      <c r="G153" s="39">
        <v>45422</v>
      </c>
      <c r="H153" s="40">
        <v>102</v>
      </c>
      <c r="I153" s="43">
        <v>377700</v>
      </c>
      <c r="J153" s="44">
        <v>105549</v>
      </c>
      <c r="K153" s="45">
        <v>5277</v>
      </c>
      <c r="L153" s="45">
        <v>6000</v>
      </c>
      <c r="M153" s="45">
        <v>116826</v>
      </c>
      <c r="N153" t="s">
        <v>193</v>
      </c>
      <c r="O153" t="s">
        <v>27</v>
      </c>
    </row>
    <row r="154" spans="1:15" ht="15.75" customHeight="1">
      <c r="A154" s="27" t="s">
        <v>55</v>
      </c>
      <c r="B154" s="27" t="s">
        <v>28</v>
      </c>
      <c r="C154" s="38" t="s">
        <v>351</v>
      </c>
      <c r="D154" s="41">
        <v>45469</v>
      </c>
      <c r="E154" s="29" t="str">
        <f>TEXT(D154,"mmmm")</f>
        <v>June</v>
      </c>
      <c r="F154" s="18">
        <f>YEAR(D154)</f>
        <v>2024</v>
      </c>
      <c r="G154" s="39">
        <v>45422</v>
      </c>
      <c r="H154" s="40">
        <v>102</v>
      </c>
      <c r="I154" s="43">
        <v>377700</v>
      </c>
      <c r="J154" s="44">
        <v>105549</v>
      </c>
      <c r="K154" s="45">
        <v>5277</v>
      </c>
      <c r="L154" s="45">
        <v>3000</v>
      </c>
      <c r="M154" s="45">
        <v>113826</v>
      </c>
      <c r="N154" t="s">
        <v>193</v>
      </c>
      <c r="O154" t="s">
        <v>27</v>
      </c>
    </row>
    <row r="155" spans="1:15" ht="15.75" customHeight="1">
      <c r="A155" s="27" t="s">
        <v>55</v>
      </c>
      <c r="B155" s="27" t="s">
        <v>28</v>
      </c>
      <c r="C155" s="38" t="s">
        <v>352</v>
      </c>
      <c r="D155" s="41">
        <v>45469</v>
      </c>
      <c r="E155" s="29" t="str">
        <f>TEXT(D155,"mmmm")</f>
        <v>June</v>
      </c>
      <c r="F155" s="18">
        <f>YEAR(D155)</f>
        <v>2024</v>
      </c>
      <c r="G155" s="39">
        <v>45422</v>
      </c>
      <c r="H155" s="40">
        <v>102</v>
      </c>
      <c r="I155" s="43">
        <v>377700</v>
      </c>
      <c r="J155" s="44">
        <v>105549</v>
      </c>
      <c r="K155" s="45">
        <v>5277</v>
      </c>
      <c r="L155" s="45">
        <v>3000</v>
      </c>
      <c r="M155" s="45">
        <v>113826</v>
      </c>
      <c r="N155" t="s">
        <v>193</v>
      </c>
      <c r="O155" t="s">
        <v>27</v>
      </c>
    </row>
    <row r="156" spans="1:15" ht="15.75" customHeight="1">
      <c r="A156" s="27" t="s">
        <v>55</v>
      </c>
      <c r="B156" s="27" t="s">
        <v>28</v>
      </c>
      <c r="C156" s="38" t="s">
        <v>353</v>
      </c>
      <c r="D156" s="41">
        <v>45469</v>
      </c>
      <c r="E156" s="29" t="str">
        <f>TEXT(D156,"mmmm")</f>
        <v>June</v>
      </c>
      <c r="F156" s="18">
        <f>YEAR(D156)</f>
        <v>2024</v>
      </c>
      <c r="G156" s="39">
        <v>45422</v>
      </c>
      <c r="H156" s="40">
        <v>102</v>
      </c>
      <c r="I156" s="43">
        <v>377700</v>
      </c>
      <c r="J156" s="44">
        <v>105549</v>
      </c>
      <c r="K156" s="45">
        <v>5277</v>
      </c>
      <c r="L156" s="45">
        <v>3000</v>
      </c>
      <c r="M156" s="45">
        <v>113826</v>
      </c>
      <c r="N156" t="s">
        <v>193</v>
      </c>
      <c r="O156" t="s">
        <v>27</v>
      </c>
    </row>
    <row r="157" spans="1:15" ht="15.75" customHeight="1">
      <c r="A157" s="27" t="s">
        <v>55</v>
      </c>
      <c r="B157" s="27" t="s">
        <v>28</v>
      </c>
      <c r="C157" s="38" t="s">
        <v>354</v>
      </c>
      <c r="D157" s="41">
        <v>45469</v>
      </c>
      <c r="E157" s="29" t="str">
        <f>TEXT(D157,"mmmm")</f>
        <v>June</v>
      </c>
      <c r="F157" s="18">
        <f>YEAR(D157)</f>
        <v>2024</v>
      </c>
      <c r="G157" s="39">
        <v>45422</v>
      </c>
      <c r="H157" s="40">
        <v>102</v>
      </c>
      <c r="I157" s="43">
        <v>377700</v>
      </c>
      <c r="J157" s="44">
        <v>105549</v>
      </c>
      <c r="K157" s="45">
        <v>5277</v>
      </c>
      <c r="L157" s="45">
        <v>3000</v>
      </c>
      <c r="M157" s="45">
        <v>113826</v>
      </c>
      <c r="N157" t="s">
        <v>193</v>
      </c>
      <c r="O157" t="s">
        <v>27</v>
      </c>
    </row>
    <row r="158" spans="1:15" ht="15.75" customHeight="1">
      <c r="A158" s="27" t="s">
        <v>55</v>
      </c>
      <c r="B158" s="27" t="s">
        <v>28</v>
      </c>
      <c r="C158" s="38" t="s">
        <v>355</v>
      </c>
      <c r="D158" s="41">
        <v>45469</v>
      </c>
      <c r="E158" s="29" t="str">
        <f>TEXT(D158,"mmmm")</f>
        <v>June</v>
      </c>
      <c r="F158" s="18">
        <f>YEAR(D158)</f>
        <v>2024</v>
      </c>
      <c r="G158" s="39">
        <v>45422</v>
      </c>
      <c r="H158" s="40">
        <v>102</v>
      </c>
      <c r="I158" s="43">
        <v>377700</v>
      </c>
      <c r="J158" s="44">
        <v>105549</v>
      </c>
      <c r="K158" s="45">
        <v>5277</v>
      </c>
      <c r="L158" s="45">
        <v>3000</v>
      </c>
      <c r="M158" s="45">
        <v>113826</v>
      </c>
      <c r="N158" t="s">
        <v>193</v>
      </c>
      <c r="O158" t="s">
        <v>27</v>
      </c>
    </row>
    <row r="159" spans="1:15" ht="15.75" customHeight="1">
      <c r="A159" s="27" t="s">
        <v>55</v>
      </c>
      <c r="B159" s="27" t="s">
        <v>28</v>
      </c>
      <c r="C159" s="38" t="s">
        <v>356</v>
      </c>
      <c r="D159" s="41">
        <v>45469</v>
      </c>
      <c r="E159" s="29" t="str">
        <f>TEXT(D159,"mmmm")</f>
        <v>June</v>
      </c>
      <c r="F159" s="18">
        <f>YEAR(D159)</f>
        <v>2024</v>
      </c>
      <c r="G159" s="39">
        <v>45422</v>
      </c>
      <c r="H159" s="40">
        <v>102</v>
      </c>
      <c r="I159" s="43">
        <v>377700</v>
      </c>
      <c r="J159" s="44">
        <v>105549</v>
      </c>
      <c r="K159" s="45">
        <v>5277</v>
      </c>
      <c r="L159" s="45">
        <v>3000</v>
      </c>
      <c r="M159" s="45">
        <v>113826</v>
      </c>
      <c r="N159" t="s">
        <v>193</v>
      </c>
      <c r="O159" t="s">
        <v>27</v>
      </c>
    </row>
    <row r="160" spans="1:15" ht="15.75" customHeight="1">
      <c r="A160" s="27" t="s">
        <v>55</v>
      </c>
      <c r="B160" s="27" t="s">
        <v>28</v>
      </c>
      <c r="C160" s="38" t="s">
        <v>357</v>
      </c>
      <c r="D160" s="41">
        <v>45469</v>
      </c>
      <c r="E160" s="29" t="str">
        <f>TEXT(D160,"mmmm")</f>
        <v>June</v>
      </c>
      <c r="F160" s="18">
        <f>YEAR(D160)</f>
        <v>2024</v>
      </c>
      <c r="G160" s="39">
        <v>45422</v>
      </c>
      <c r="H160" s="40">
        <v>102</v>
      </c>
      <c r="I160" s="43">
        <v>377700</v>
      </c>
      <c r="J160" s="44">
        <v>105549</v>
      </c>
      <c r="K160" s="45">
        <v>5277</v>
      </c>
      <c r="L160" s="45">
        <v>3000</v>
      </c>
      <c r="M160" s="45">
        <v>113826</v>
      </c>
      <c r="N160" t="s">
        <v>193</v>
      </c>
      <c r="O160" t="s">
        <v>27</v>
      </c>
    </row>
    <row r="161" spans="1:15" ht="15.75" customHeight="1">
      <c r="A161" s="27" t="s">
        <v>55</v>
      </c>
      <c r="B161" s="27" t="s">
        <v>28</v>
      </c>
      <c r="C161" s="38" t="s">
        <v>358</v>
      </c>
      <c r="D161" s="41">
        <v>45469</v>
      </c>
      <c r="E161" s="29" t="str">
        <f>TEXT(D161,"mmmm")</f>
        <v>June</v>
      </c>
      <c r="F161" s="18">
        <f>YEAR(D161)</f>
        <v>2024</v>
      </c>
      <c r="G161" s="39">
        <v>45422</v>
      </c>
      <c r="H161" s="40">
        <v>102</v>
      </c>
      <c r="I161" s="43">
        <v>377700</v>
      </c>
      <c r="J161" s="44">
        <v>105549</v>
      </c>
      <c r="K161" s="45">
        <v>5277</v>
      </c>
      <c r="L161" s="45">
        <v>3000</v>
      </c>
      <c r="M161" s="45">
        <v>113826</v>
      </c>
      <c r="N161" t="s">
        <v>193</v>
      </c>
      <c r="O161" t="s">
        <v>27</v>
      </c>
    </row>
    <row r="162" spans="1:15" ht="15.75" customHeight="1">
      <c r="A162" s="27" t="s">
        <v>55</v>
      </c>
      <c r="B162" s="27" t="s">
        <v>28</v>
      </c>
      <c r="C162" s="38" t="s">
        <v>359</v>
      </c>
      <c r="D162" s="41">
        <v>45469</v>
      </c>
      <c r="E162" s="29" t="str">
        <f>TEXT(D162,"mmmm")</f>
        <v>June</v>
      </c>
      <c r="F162" s="18">
        <f>YEAR(D162)</f>
        <v>2024</v>
      </c>
      <c r="G162" s="39">
        <v>45422</v>
      </c>
      <c r="H162" s="40">
        <v>102</v>
      </c>
      <c r="I162" s="43">
        <v>377700</v>
      </c>
      <c r="J162" s="44">
        <v>105549</v>
      </c>
      <c r="K162" s="45">
        <v>5277</v>
      </c>
      <c r="L162" s="45">
        <v>3000</v>
      </c>
      <c r="M162" s="45">
        <v>113826</v>
      </c>
      <c r="N162" t="s">
        <v>193</v>
      </c>
      <c r="O162" t="s">
        <v>27</v>
      </c>
    </row>
    <row r="163" spans="1:15" ht="15.75" customHeight="1">
      <c r="A163" s="27" t="s">
        <v>55</v>
      </c>
      <c r="B163" s="27" t="s">
        <v>28</v>
      </c>
      <c r="C163" s="38" t="s">
        <v>360</v>
      </c>
      <c r="D163" s="41">
        <v>45469</v>
      </c>
      <c r="E163" s="29" t="str">
        <f>TEXT(D163,"mmmm")</f>
        <v>June</v>
      </c>
      <c r="F163" s="18">
        <f>YEAR(D163)</f>
        <v>2024</v>
      </c>
      <c r="G163" s="39">
        <v>45422</v>
      </c>
      <c r="H163" s="40">
        <v>102</v>
      </c>
      <c r="I163" s="43">
        <v>377700</v>
      </c>
      <c r="J163" s="44">
        <v>105549</v>
      </c>
      <c r="K163" s="45">
        <v>5277</v>
      </c>
      <c r="L163" s="45">
        <v>3000</v>
      </c>
      <c r="M163" s="45">
        <v>113826</v>
      </c>
      <c r="N163" t="s">
        <v>193</v>
      </c>
      <c r="O163" t="s">
        <v>27</v>
      </c>
    </row>
    <row r="164" spans="1:15" ht="15.75" customHeight="1">
      <c r="A164" s="27" t="s">
        <v>55</v>
      </c>
      <c r="B164" s="27" t="s">
        <v>28</v>
      </c>
      <c r="C164" s="38" t="s">
        <v>361</v>
      </c>
      <c r="D164" s="41">
        <v>45470</v>
      </c>
      <c r="E164" s="29" t="str">
        <f>TEXT(D164,"mmmm")</f>
        <v>June</v>
      </c>
      <c r="F164" s="18">
        <f>YEAR(D164)</f>
        <v>2024</v>
      </c>
      <c r="G164" s="39">
        <v>45422</v>
      </c>
      <c r="H164" s="40">
        <v>101</v>
      </c>
      <c r="I164" s="43">
        <v>377700</v>
      </c>
      <c r="J164" s="44">
        <v>104514</v>
      </c>
      <c r="K164" s="45">
        <v>5226</v>
      </c>
      <c r="L164" s="45">
        <v>3000</v>
      </c>
      <c r="M164" s="45">
        <v>112740</v>
      </c>
      <c r="N164" t="s">
        <v>193</v>
      </c>
      <c r="O164" t="s">
        <v>27</v>
      </c>
    </row>
    <row r="165" spans="1:15" ht="15.75" customHeight="1">
      <c r="A165" s="27" t="s">
        <v>55</v>
      </c>
      <c r="B165" s="27" t="s">
        <v>28</v>
      </c>
      <c r="C165" s="38" t="s">
        <v>362</v>
      </c>
      <c r="D165" s="41">
        <v>45470</v>
      </c>
      <c r="E165" s="29" t="str">
        <f>TEXT(D165,"mmmm")</f>
        <v>June</v>
      </c>
      <c r="F165" s="18">
        <f>YEAR(D165)</f>
        <v>2024</v>
      </c>
      <c r="G165" s="39">
        <v>45422</v>
      </c>
      <c r="H165" s="40">
        <v>101</v>
      </c>
      <c r="I165" s="43">
        <v>377700</v>
      </c>
      <c r="J165" s="44">
        <v>104514</v>
      </c>
      <c r="K165" s="45">
        <v>5226</v>
      </c>
      <c r="L165" s="45">
        <v>3000</v>
      </c>
      <c r="M165" s="45">
        <v>112740</v>
      </c>
      <c r="N165" t="s">
        <v>193</v>
      </c>
      <c r="O165" t="s">
        <v>27</v>
      </c>
    </row>
    <row r="166" spans="1:15" ht="15.75" customHeight="1">
      <c r="A166" s="27" t="s">
        <v>55</v>
      </c>
      <c r="B166" s="27" t="s">
        <v>28</v>
      </c>
      <c r="C166" s="38" t="s">
        <v>318</v>
      </c>
      <c r="D166" s="98">
        <v>45471</v>
      </c>
      <c r="E166" s="29" t="str">
        <f>TEXT(D166,"mmmm")</f>
        <v>June</v>
      </c>
      <c r="F166" s="18">
        <f>YEAR(D166)</f>
        <v>2024</v>
      </c>
      <c r="G166" s="39">
        <v>45422</v>
      </c>
      <c r="H166" s="40">
        <v>131</v>
      </c>
      <c r="I166" s="43">
        <v>377700</v>
      </c>
      <c r="J166" s="44">
        <v>135558</v>
      </c>
      <c r="K166" s="45">
        <v>6778</v>
      </c>
      <c r="L166" s="45">
        <v>3000</v>
      </c>
      <c r="M166" s="45">
        <v>145336</v>
      </c>
      <c r="N166" t="s">
        <v>193</v>
      </c>
      <c r="O166" t="s">
        <v>27</v>
      </c>
    </row>
    <row r="167" spans="1:15" ht="15.75" customHeight="1">
      <c r="A167" s="27" t="s">
        <v>55</v>
      </c>
      <c r="B167" s="27" t="s">
        <v>28</v>
      </c>
      <c r="C167" s="38" t="s">
        <v>363</v>
      </c>
      <c r="D167" s="41">
        <v>45471</v>
      </c>
      <c r="E167" s="29" t="str">
        <f>TEXT(D167,"mmmm")</f>
        <v>June</v>
      </c>
      <c r="F167" s="18">
        <f>YEAR(D167)</f>
        <v>2024</v>
      </c>
      <c r="G167" s="39">
        <v>45422</v>
      </c>
      <c r="H167" s="40">
        <v>100</v>
      </c>
      <c r="I167" s="43">
        <v>377700</v>
      </c>
      <c r="J167" s="44">
        <v>103479</v>
      </c>
      <c r="K167" s="45">
        <v>5174</v>
      </c>
      <c r="L167" s="45">
        <v>3000</v>
      </c>
      <c r="M167" s="45">
        <v>111653</v>
      </c>
      <c r="N167" t="s">
        <v>193</v>
      </c>
      <c r="O167" t="s">
        <v>27</v>
      </c>
    </row>
    <row r="168" spans="1:15" ht="15.75" customHeight="1">
      <c r="A168" s="27" t="s">
        <v>55</v>
      </c>
      <c r="B168" s="27" t="s">
        <v>28</v>
      </c>
      <c r="C168" s="38" t="s">
        <v>364</v>
      </c>
      <c r="D168" s="41">
        <v>45471</v>
      </c>
      <c r="E168" s="29" t="str">
        <f>TEXT(D168,"mmmm")</f>
        <v>June</v>
      </c>
      <c r="F168" s="18">
        <f>YEAR(D168)</f>
        <v>2024</v>
      </c>
      <c r="G168" s="39">
        <v>45422</v>
      </c>
      <c r="H168" s="40">
        <v>96</v>
      </c>
      <c r="I168" s="43">
        <v>377700</v>
      </c>
      <c r="J168" s="44">
        <v>99340</v>
      </c>
      <c r="K168" s="45">
        <v>4967</v>
      </c>
      <c r="L168" s="45">
        <v>3000</v>
      </c>
      <c r="M168" s="45">
        <v>107307</v>
      </c>
      <c r="N168" t="s">
        <v>193</v>
      </c>
      <c r="O168" t="s">
        <v>27</v>
      </c>
    </row>
    <row r="169" spans="1:15" ht="15.75" customHeight="1">
      <c r="A169" s="27" t="s">
        <v>365</v>
      </c>
      <c r="B169" s="27" t="s">
        <v>28</v>
      </c>
      <c r="C169" s="27" t="s">
        <v>366</v>
      </c>
      <c r="D169" s="41">
        <v>45471</v>
      </c>
      <c r="E169" s="29" t="str">
        <f>TEXT(D169,"mmmm")</f>
        <v>June</v>
      </c>
      <c r="F169" s="18">
        <f>YEAR(D169)</f>
        <v>2024</v>
      </c>
      <c r="G169" s="39">
        <v>45588</v>
      </c>
      <c r="H169" s="40">
        <v>118</v>
      </c>
      <c r="I169" s="43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t="s">
        <v>193</v>
      </c>
      <c r="O169" t="s">
        <v>27</v>
      </c>
    </row>
    <row r="170" spans="1:15" ht="15.75" customHeight="1">
      <c r="A170" s="27" t="s">
        <v>55</v>
      </c>
      <c r="B170" s="27" t="s">
        <v>28</v>
      </c>
      <c r="C170" s="95" t="s">
        <v>319</v>
      </c>
      <c r="D170" s="98">
        <v>45472</v>
      </c>
      <c r="E170" s="29" t="str">
        <f>TEXT(D170,"mmmm")</f>
        <v>June</v>
      </c>
      <c r="F170" s="18">
        <f>YEAR(D170)</f>
        <v>2024</v>
      </c>
      <c r="G170" s="39">
        <v>45422</v>
      </c>
      <c r="H170" s="101">
        <v>130</v>
      </c>
      <c r="I170" s="43">
        <v>377700</v>
      </c>
      <c r="J170" s="43">
        <v>134523</v>
      </c>
      <c r="K170" s="43">
        <v>6726</v>
      </c>
      <c r="L170" s="43">
        <v>3000</v>
      </c>
      <c r="M170" s="43">
        <v>144249</v>
      </c>
      <c r="N170" t="s">
        <v>193</v>
      </c>
      <c r="O170" t="s">
        <v>27</v>
      </c>
    </row>
    <row r="171" spans="1:15" ht="15.75" customHeight="1">
      <c r="A171" s="27" t="s">
        <v>47</v>
      </c>
      <c r="B171" s="27" t="s">
        <v>40</v>
      </c>
      <c r="C171" s="27" t="s">
        <v>368</v>
      </c>
      <c r="D171" s="41">
        <v>45475</v>
      </c>
      <c r="E171" s="29" t="str">
        <f>TEXT(D171,"mmmm")</f>
        <v>July</v>
      </c>
      <c r="F171" s="18">
        <f>YEAR(D171)</f>
        <v>2024</v>
      </c>
      <c r="G171" s="39">
        <v>45494</v>
      </c>
      <c r="H171" s="30">
        <v>20</v>
      </c>
      <c r="I171" s="32">
        <v>876136</v>
      </c>
      <c r="J171" s="48">
        <v>47514</v>
      </c>
      <c r="K171" s="32">
        <v>2376</v>
      </c>
      <c r="L171" s="32">
        <v>10000</v>
      </c>
      <c r="M171" s="32">
        <v>59890</v>
      </c>
      <c r="N171" t="s">
        <v>193</v>
      </c>
      <c r="O171" t="s">
        <v>27</v>
      </c>
    </row>
    <row r="172" spans="1:15" ht="15.75" customHeight="1">
      <c r="A172" s="27" t="s">
        <v>55</v>
      </c>
      <c r="B172" s="27" t="s">
        <v>28</v>
      </c>
      <c r="C172" s="95" t="s">
        <v>328</v>
      </c>
      <c r="D172" s="41">
        <v>45479</v>
      </c>
      <c r="E172" s="29" t="str">
        <f>TEXT(D172,"mmmm")</f>
        <v>July</v>
      </c>
      <c r="F172" s="18">
        <f>YEAR(D172)</f>
        <v>2024</v>
      </c>
      <c r="G172" s="46">
        <v>45422</v>
      </c>
      <c r="H172" s="101">
        <v>121</v>
      </c>
      <c r="I172" s="43">
        <v>377700</v>
      </c>
      <c r="J172" s="43">
        <v>125210</v>
      </c>
      <c r="K172" s="43">
        <v>6261</v>
      </c>
      <c r="L172" s="43">
        <v>3000</v>
      </c>
      <c r="M172" s="43">
        <v>134471</v>
      </c>
      <c r="N172" t="s">
        <v>193</v>
      </c>
      <c r="O172" t="s">
        <v>27</v>
      </c>
    </row>
    <row r="173" spans="1:15" ht="15.75" customHeight="1">
      <c r="A173" s="27" t="s">
        <v>55</v>
      </c>
      <c r="B173" s="27" t="s">
        <v>28</v>
      </c>
      <c r="C173" s="95" t="s">
        <v>329</v>
      </c>
      <c r="D173" s="97">
        <v>45479</v>
      </c>
      <c r="E173" s="29" t="str">
        <f>TEXT(D173,"mmmm")</f>
        <v>July</v>
      </c>
      <c r="F173" s="18">
        <f>YEAR(D173)</f>
        <v>2024</v>
      </c>
      <c r="G173" s="99">
        <v>45422</v>
      </c>
      <c r="H173" s="101">
        <v>121</v>
      </c>
      <c r="I173" s="43">
        <v>377700</v>
      </c>
      <c r="J173" s="43">
        <v>125210</v>
      </c>
      <c r="K173" s="43">
        <v>6261</v>
      </c>
      <c r="L173" s="43">
        <v>3000</v>
      </c>
      <c r="M173" s="43">
        <v>134471</v>
      </c>
      <c r="N173" t="s">
        <v>193</v>
      </c>
      <c r="O173" t="s">
        <v>27</v>
      </c>
    </row>
    <row r="174" spans="1:15" ht="15.75" customHeight="1">
      <c r="A174" s="27" t="s">
        <v>377</v>
      </c>
      <c r="B174" s="27" t="s">
        <v>40</v>
      </c>
      <c r="C174" s="27" t="s">
        <v>378</v>
      </c>
      <c r="D174" s="28">
        <v>45491</v>
      </c>
      <c r="E174" s="29" t="str">
        <f>TEXT(D174,"mmmm")</f>
        <v>July</v>
      </c>
      <c r="F174" s="18">
        <f>YEAR(D174)</f>
        <v>2024</v>
      </c>
      <c r="G174" s="29">
        <v>45796</v>
      </c>
      <c r="H174" s="30">
        <v>306</v>
      </c>
      <c r="I174" s="32">
        <v>949649</v>
      </c>
      <c r="J174" s="32">
        <v>796144</v>
      </c>
      <c r="K174" s="32">
        <v>39809</v>
      </c>
      <c r="L174" s="32">
        <v>20000</v>
      </c>
      <c r="M174" s="32">
        <v>855951</v>
      </c>
      <c r="N174" t="s">
        <v>193</v>
      </c>
      <c r="O174" t="s">
        <v>27</v>
      </c>
    </row>
    <row r="175" spans="1:15" ht="15.75" customHeight="1">
      <c r="A175" s="27" t="s">
        <v>377</v>
      </c>
      <c r="B175" s="27" t="s">
        <v>40</v>
      </c>
      <c r="C175" s="27" t="s">
        <v>379</v>
      </c>
      <c r="D175" s="28">
        <v>45491</v>
      </c>
      <c r="E175" s="29" t="str">
        <f>TEXT(D175,"mmmm")</f>
        <v>July</v>
      </c>
      <c r="F175" s="18">
        <f>YEAR(D175)</f>
        <v>2024</v>
      </c>
      <c r="G175" s="29">
        <v>45796</v>
      </c>
      <c r="H175" s="30">
        <v>306</v>
      </c>
      <c r="I175" s="32">
        <v>190003</v>
      </c>
      <c r="J175" s="32">
        <v>159290</v>
      </c>
      <c r="K175" s="32">
        <v>7965</v>
      </c>
      <c r="L175" s="32">
        <v>5000</v>
      </c>
      <c r="M175" s="32">
        <v>172255</v>
      </c>
      <c r="N175" t="s">
        <v>193</v>
      </c>
      <c r="O175" t="s">
        <v>27</v>
      </c>
    </row>
    <row r="176" spans="1:15" ht="15.75" customHeight="1">
      <c r="A176" s="27" t="s">
        <v>377</v>
      </c>
      <c r="B176" s="27" t="s">
        <v>40</v>
      </c>
      <c r="C176" s="27" t="s">
        <v>380</v>
      </c>
      <c r="D176" s="28">
        <v>45492</v>
      </c>
      <c r="E176" s="29" t="str">
        <f>TEXT(D176,"mmmm")</f>
        <v>July</v>
      </c>
      <c r="F176" s="18">
        <f>YEAR(D176)</f>
        <v>2024</v>
      </c>
      <c r="G176" s="29">
        <v>45796</v>
      </c>
      <c r="H176" s="30">
        <v>305</v>
      </c>
      <c r="I176" s="32">
        <v>240225</v>
      </c>
      <c r="J176" s="32">
        <v>200736</v>
      </c>
      <c r="K176" s="32">
        <v>10037</v>
      </c>
      <c r="L176" s="32">
        <v>5000</v>
      </c>
      <c r="M176" s="32">
        <v>215773</v>
      </c>
      <c r="N176" t="s">
        <v>193</v>
      </c>
      <c r="O176" t="s">
        <v>27</v>
      </c>
    </row>
    <row r="177" spans="1:15" ht="15.75" customHeight="1">
      <c r="A177" s="27" t="s">
        <v>47</v>
      </c>
      <c r="B177" s="27" t="s">
        <v>40</v>
      </c>
      <c r="C177" s="27" t="s">
        <v>368</v>
      </c>
      <c r="D177" s="97">
        <v>45495</v>
      </c>
      <c r="E177" s="29" t="str">
        <f>TEXT(D177,"mmmm")</f>
        <v>July</v>
      </c>
      <c r="F177" s="18">
        <f>YEAR(D177)</f>
        <v>2024</v>
      </c>
      <c r="G177" s="99">
        <v>45859</v>
      </c>
      <c r="H177" s="30">
        <v>365</v>
      </c>
      <c r="I177" s="32">
        <v>780422</v>
      </c>
      <c r="J177" s="48">
        <v>780422</v>
      </c>
      <c r="K177" s="32">
        <v>39021</v>
      </c>
      <c r="L177" s="32">
        <v>10000</v>
      </c>
      <c r="M177" s="32">
        <v>829444</v>
      </c>
      <c r="N177" t="s">
        <v>193</v>
      </c>
      <c r="O177" t="s">
        <v>27</v>
      </c>
    </row>
    <row r="178" spans="1:15" ht="15.75" customHeight="1">
      <c r="A178" s="27" t="s">
        <v>375</v>
      </c>
      <c r="B178" s="27" t="s">
        <v>34</v>
      </c>
      <c r="C178" s="27" t="s">
        <v>376</v>
      </c>
      <c r="D178" s="28">
        <v>45496</v>
      </c>
      <c r="E178" s="29" t="str">
        <f>TEXT(D178,"mmmm")</f>
        <v>July</v>
      </c>
      <c r="F178" s="18">
        <f>YEAR(D178)</f>
        <v>2024</v>
      </c>
      <c r="G178" s="29">
        <v>45848</v>
      </c>
      <c r="H178" s="30">
        <v>353</v>
      </c>
      <c r="I178" s="32">
        <v>180609</v>
      </c>
      <c r="J178" s="32">
        <v>174671</v>
      </c>
      <c r="K178" s="32">
        <v>8734</v>
      </c>
      <c r="L178" s="32">
        <v>5000</v>
      </c>
      <c r="M178" s="32">
        <v>188405</v>
      </c>
      <c r="N178" t="s">
        <v>193</v>
      </c>
      <c r="O178" t="s">
        <v>27</v>
      </c>
    </row>
    <row r="179" spans="1:15" ht="15.75" customHeight="1">
      <c r="A179" s="27" t="s">
        <v>385</v>
      </c>
      <c r="B179" s="27" t="s">
        <v>28</v>
      </c>
      <c r="C179" s="27" t="s">
        <v>386</v>
      </c>
      <c r="D179" s="28">
        <v>45498</v>
      </c>
      <c r="E179" s="29" t="str">
        <f>TEXT(D179,"mmmm")</f>
        <v>July</v>
      </c>
      <c r="F179" s="18">
        <f>YEAR(D179)</f>
        <v>2024</v>
      </c>
      <c r="G179" s="29">
        <v>45832</v>
      </c>
      <c r="H179" s="30">
        <v>335</v>
      </c>
      <c r="I179" s="32">
        <v>504665</v>
      </c>
      <c r="J179" s="32">
        <v>463185</v>
      </c>
      <c r="K179" s="32">
        <v>23159</v>
      </c>
      <c r="L179" s="32">
        <v>10000</v>
      </c>
      <c r="M179" s="32">
        <v>496345</v>
      </c>
      <c r="N179" t="s">
        <v>193</v>
      </c>
      <c r="O179" t="s">
        <v>27</v>
      </c>
    </row>
    <row r="180" spans="1:15" ht="15.75" customHeight="1">
      <c r="A180" s="27" t="s">
        <v>373</v>
      </c>
      <c r="B180" s="27" t="s">
        <v>34</v>
      </c>
      <c r="C180" s="27" t="s">
        <v>387</v>
      </c>
      <c r="D180" s="28">
        <v>45504</v>
      </c>
      <c r="E180" s="29" t="str">
        <f>TEXT(D180,"mmmm")</f>
        <v>July</v>
      </c>
      <c r="F180" s="18">
        <f>YEAR(D180)</f>
        <v>2024</v>
      </c>
      <c r="G180" s="29">
        <v>45666</v>
      </c>
      <c r="H180" s="30">
        <f>G180-D180+1</f>
        <v>163</v>
      </c>
      <c r="I180" s="32">
        <v>225268</v>
      </c>
      <c r="J180" s="32">
        <f>I180*H180/365</f>
        <v>100599.13424657534</v>
      </c>
      <c r="K180" s="32">
        <f>J180*5%</f>
        <v>5029.956712328767</v>
      </c>
      <c r="L180" s="32">
        <v>10000</v>
      </c>
      <c r="M180" s="32">
        <f>SUM(J180:L180)</f>
        <v>115629.09095890411</v>
      </c>
      <c r="N180" t="s">
        <v>193</v>
      </c>
      <c r="O180" t="s">
        <v>27</v>
      </c>
    </row>
    <row r="181" spans="1:15" ht="15.75" customHeight="1">
      <c r="A181" s="27" t="s">
        <v>93</v>
      </c>
      <c r="B181" s="27" t="s">
        <v>28</v>
      </c>
      <c r="C181" s="27" t="s">
        <v>388</v>
      </c>
      <c r="D181" s="28">
        <v>45505</v>
      </c>
      <c r="E181" s="29" t="str">
        <f>TEXT(D181,"mmmm")</f>
        <v>August</v>
      </c>
      <c r="F181" s="18">
        <f>YEAR(D181)</f>
        <v>2024</v>
      </c>
      <c r="G181" s="29">
        <v>45709</v>
      </c>
      <c r="H181" s="30">
        <v>205</v>
      </c>
      <c r="I181" s="32">
        <v>133012</v>
      </c>
      <c r="J181" s="32">
        <f>I181*H181/365</f>
        <v>74705.369863013693</v>
      </c>
      <c r="K181" s="32">
        <f>J181*5%</f>
        <v>3735.2684931506847</v>
      </c>
      <c r="L181" s="32">
        <v>10000</v>
      </c>
      <c r="M181" s="32">
        <f>SUM(J181:L181)</f>
        <v>88440.638356164374</v>
      </c>
      <c r="N181" t="s">
        <v>193</v>
      </c>
      <c r="O181" t="s">
        <v>27</v>
      </c>
    </row>
    <row r="182" spans="1:15" ht="15.75" customHeight="1">
      <c r="A182" s="27" t="s">
        <v>93</v>
      </c>
      <c r="B182" s="27" t="s">
        <v>28</v>
      </c>
      <c r="C182" s="27" t="s">
        <v>389</v>
      </c>
      <c r="D182" s="28">
        <v>45505</v>
      </c>
      <c r="E182" s="29" t="str">
        <f>TEXT(D182,"mmmm")</f>
        <v>August</v>
      </c>
      <c r="F182" s="18">
        <f>YEAR(D182)</f>
        <v>2024</v>
      </c>
      <c r="G182" s="29">
        <v>45709</v>
      </c>
      <c r="H182" s="30">
        <v>205</v>
      </c>
      <c r="I182" s="32">
        <v>133012</v>
      </c>
      <c r="J182" s="32">
        <f>I182*H182/365</f>
        <v>74705.369863013693</v>
      </c>
      <c r="K182" s="32">
        <f>J182*5%</f>
        <v>3735.2684931506847</v>
      </c>
      <c r="L182" s="32">
        <v>10000</v>
      </c>
      <c r="M182" s="32">
        <f>SUM(J182:L182)</f>
        <v>88440.638356164374</v>
      </c>
      <c r="N182" t="s">
        <v>193</v>
      </c>
      <c r="O182" t="s">
        <v>27</v>
      </c>
    </row>
    <row r="183" spans="1:15" ht="15.75" customHeight="1">
      <c r="A183" s="27" t="s">
        <v>390</v>
      </c>
      <c r="B183" s="27" t="s">
        <v>28</v>
      </c>
      <c r="C183" s="27" t="s">
        <v>391</v>
      </c>
      <c r="D183" s="28">
        <v>45509</v>
      </c>
      <c r="E183" s="29" t="str">
        <f>TEXT(D183,"mmmm")</f>
        <v>August</v>
      </c>
      <c r="F183" s="18">
        <f>YEAR(D183)</f>
        <v>2024</v>
      </c>
      <c r="G183" s="29">
        <v>45693</v>
      </c>
      <c r="H183" s="30">
        <f>G183-D183+1</f>
        <v>185</v>
      </c>
      <c r="I183" s="32">
        <v>1265350</v>
      </c>
      <c r="J183" s="32">
        <f>I183*H183/365</f>
        <v>641341.78082191781</v>
      </c>
      <c r="K183" s="32">
        <f>J183*5%</f>
        <v>32067.089041095893</v>
      </c>
      <c r="L183" s="32">
        <v>40000</v>
      </c>
      <c r="M183" s="32">
        <f>SUM(J183:L183)</f>
        <v>713408.86986301374</v>
      </c>
      <c r="N183" t="s">
        <v>193</v>
      </c>
      <c r="O183" t="s">
        <v>27</v>
      </c>
    </row>
    <row r="184" spans="1:15" ht="15.75" customHeight="1">
      <c r="A184" s="27" t="s">
        <v>390</v>
      </c>
      <c r="B184" s="27" t="s">
        <v>28</v>
      </c>
      <c r="C184" s="27" t="s">
        <v>392</v>
      </c>
      <c r="D184" s="28">
        <v>45509</v>
      </c>
      <c r="E184" s="29" t="str">
        <f>TEXT(D184,"mmmm")</f>
        <v>August</v>
      </c>
      <c r="F184" s="18">
        <f>YEAR(D184)</f>
        <v>2024</v>
      </c>
      <c r="G184" s="29">
        <v>45693</v>
      </c>
      <c r="H184" s="30">
        <f>G184-D184+1</f>
        <v>185</v>
      </c>
      <c r="I184" s="32">
        <v>1265350</v>
      </c>
      <c r="J184" s="32">
        <f>I184*H184/365</f>
        <v>641341.78082191781</v>
      </c>
      <c r="K184" s="32">
        <f>J184*5%</f>
        <v>32067.089041095893</v>
      </c>
      <c r="L184" s="32">
        <v>20000</v>
      </c>
      <c r="M184" s="32">
        <f>SUM(J184:L184)</f>
        <v>693408.86986301374</v>
      </c>
      <c r="N184" t="s">
        <v>193</v>
      </c>
      <c r="O184" t="s">
        <v>27</v>
      </c>
    </row>
    <row r="185" spans="1:15" ht="15.75" customHeight="1">
      <c r="A185" s="27" t="s">
        <v>395</v>
      </c>
      <c r="B185" s="27" t="s">
        <v>34</v>
      </c>
      <c r="C185" s="27" t="s">
        <v>396</v>
      </c>
      <c r="D185" s="28">
        <v>45510</v>
      </c>
      <c r="E185" s="29" t="str">
        <f>TEXT(D185,"mmmm")</f>
        <v>August</v>
      </c>
      <c r="F185" s="18">
        <f>YEAR(D185)</f>
        <v>2024</v>
      </c>
      <c r="G185" s="29">
        <v>45852</v>
      </c>
      <c r="H185" s="30">
        <f>G185-D185+1</f>
        <v>343</v>
      </c>
      <c r="I185" s="32">
        <v>436309</v>
      </c>
      <c r="J185" s="32">
        <f>I185*H185/365</f>
        <v>410010.92328767123</v>
      </c>
      <c r="K185" s="32">
        <f>J185*5%</f>
        <v>20500.546164383562</v>
      </c>
      <c r="L185" s="32">
        <v>5000</v>
      </c>
      <c r="M185" s="32">
        <f>SUM(J185:L185)</f>
        <v>435511.46945205482</v>
      </c>
      <c r="N185" t="s">
        <v>193</v>
      </c>
      <c r="O185" t="s">
        <v>27</v>
      </c>
    </row>
    <row r="186" spans="1:15" ht="15.75" customHeight="1">
      <c r="A186" s="27" t="s">
        <v>390</v>
      </c>
      <c r="B186" s="27" t="s">
        <v>28</v>
      </c>
      <c r="C186" s="27" t="s">
        <v>393</v>
      </c>
      <c r="D186" s="28">
        <v>45511</v>
      </c>
      <c r="E186" s="29" t="str">
        <f>TEXT(D186,"mmmm")</f>
        <v>August</v>
      </c>
      <c r="F186" s="18">
        <f>YEAR(D186)</f>
        <v>2024</v>
      </c>
      <c r="G186" s="29">
        <v>45693</v>
      </c>
      <c r="H186" s="30">
        <f>G186-D186+1</f>
        <v>183</v>
      </c>
      <c r="I186" s="32">
        <v>1265350</v>
      </c>
      <c r="J186" s="32">
        <f>I186*H186/365</f>
        <v>634408.35616438359</v>
      </c>
      <c r="K186" s="32">
        <f>J186*5%</f>
        <v>31720.417808219179</v>
      </c>
      <c r="L186" s="32">
        <v>10000</v>
      </c>
      <c r="M186" s="32">
        <f>SUM(J186:L186)</f>
        <v>676128.77397260279</v>
      </c>
      <c r="N186" t="s">
        <v>193</v>
      </c>
      <c r="O186" t="s">
        <v>27</v>
      </c>
    </row>
    <row r="187" spans="1:15" ht="15.75" customHeight="1">
      <c r="A187" s="27" t="s">
        <v>54</v>
      </c>
      <c r="B187" s="27" t="s">
        <v>28</v>
      </c>
      <c r="C187" s="27" t="s">
        <v>394</v>
      </c>
      <c r="D187" s="28">
        <v>45521</v>
      </c>
      <c r="E187" s="29" t="str">
        <f>TEXT(D187,"mmmm")</f>
        <v>August</v>
      </c>
      <c r="F187" s="18">
        <f>YEAR(D187)</f>
        <v>2024</v>
      </c>
      <c r="G187" s="29">
        <v>45559</v>
      </c>
      <c r="H187" s="30">
        <f>G187-D187+1</f>
        <v>39</v>
      </c>
      <c r="I187" s="32">
        <v>210228</v>
      </c>
      <c r="J187" s="32">
        <f>I187*H187/365</f>
        <v>22462.717808219179</v>
      </c>
      <c r="K187" s="32">
        <f>J187*5%</f>
        <v>1123.1358904109591</v>
      </c>
      <c r="L187" s="32">
        <v>10000</v>
      </c>
      <c r="M187" s="32">
        <f>SUM(J187:L187)</f>
        <v>33585.853698630133</v>
      </c>
      <c r="N187" t="s">
        <v>193</v>
      </c>
      <c r="O187" t="s">
        <v>27</v>
      </c>
    </row>
    <row r="188" spans="1:15" ht="15.75" customHeight="1">
      <c r="A188" s="27" t="s">
        <v>397</v>
      </c>
      <c r="B188" s="27" t="s">
        <v>28</v>
      </c>
      <c r="C188" s="27" t="s">
        <v>398</v>
      </c>
      <c r="D188" s="28">
        <v>45532</v>
      </c>
      <c r="E188" s="29" t="str">
        <f>TEXT(D188,"mmmm")</f>
        <v>August</v>
      </c>
      <c r="F188" s="18">
        <f>YEAR(D188)</f>
        <v>2024</v>
      </c>
      <c r="G188" s="29">
        <v>45819</v>
      </c>
      <c r="H188" s="30">
        <f>G188-D188+1</f>
        <v>288</v>
      </c>
      <c r="I188" s="32">
        <v>480109</v>
      </c>
      <c r="J188" s="32">
        <f>I188*H188/365</f>
        <v>378825.73150684929</v>
      </c>
      <c r="K188" s="32">
        <f>J188*5%</f>
        <v>18941.286575342467</v>
      </c>
      <c r="L188" s="32">
        <v>10000</v>
      </c>
      <c r="M188" s="32">
        <f>SUM(J188:L188)</f>
        <v>407767.01808219176</v>
      </c>
      <c r="N188" t="s">
        <v>193</v>
      </c>
      <c r="O188" t="s">
        <v>27</v>
      </c>
    </row>
    <row r="189" spans="1:15" ht="15.75" customHeight="1">
      <c r="A189" s="27" t="s">
        <v>112</v>
      </c>
      <c r="B189" s="27" t="s">
        <v>34</v>
      </c>
      <c r="C189" s="27" t="s">
        <v>399</v>
      </c>
      <c r="D189" s="28">
        <v>45532</v>
      </c>
      <c r="E189" s="29" t="str">
        <f>TEXT(D189,"mmmm")</f>
        <v>August</v>
      </c>
      <c r="F189" s="18">
        <f>YEAR(D189)</f>
        <v>2024</v>
      </c>
      <c r="G189" s="29">
        <v>45771</v>
      </c>
      <c r="H189" s="30">
        <f>G189-D189+1</f>
        <v>240</v>
      </c>
      <c r="I189" s="32">
        <v>491798</v>
      </c>
      <c r="J189" s="32">
        <f>I189*H189/365</f>
        <v>323374.0273972603</v>
      </c>
      <c r="K189" s="32">
        <f>J189*5%</f>
        <v>16168.701369863016</v>
      </c>
      <c r="L189" s="32">
        <v>10000</v>
      </c>
      <c r="M189" s="32">
        <f>SUM(J189:L189)</f>
        <v>349542.72876712331</v>
      </c>
      <c r="N189" t="s">
        <v>193</v>
      </c>
      <c r="O189" t="s">
        <v>27</v>
      </c>
    </row>
    <row r="190" spans="1:15" ht="15.75" customHeight="1">
      <c r="A190" s="27" t="s">
        <v>375</v>
      </c>
      <c r="B190" s="27" t="s">
        <v>34</v>
      </c>
      <c r="C190" s="27" t="s">
        <v>424</v>
      </c>
      <c r="D190" s="28">
        <v>45534</v>
      </c>
      <c r="E190" s="29" t="str">
        <f>TEXT(D190,"mmmm")</f>
        <v>August</v>
      </c>
      <c r="F190" s="18">
        <f>YEAR(D190)</f>
        <v>2024</v>
      </c>
      <c r="G190" s="29">
        <v>45848</v>
      </c>
      <c r="H190" s="30">
        <f>G190-D190+1</f>
        <v>315</v>
      </c>
      <c r="I190" s="32">
        <v>180609</v>
      </c>
      <c r="J190" s="32">
        <f>I190*H190/365</f>
        <v>155868.04109589042</v>
      </c>
      <c r="K190" s="32">
        <f>J190*5%</f>
        <v>7793.402054794522</v>
      </c>
      <c r="L190" s="32">
        <v>5000</v>
      </c>
      <c r="M190" s="32">
        <f>SUM(J190:L190)</f>
        <v>168661.44315068494</v>
      </c>
      <c r="N190" t="s">
        <v>193</v>
      </c>
      <c r="O190" t="s">
        <v>27</v>
      </c>
    </row>
    <row r="191" spans="1:15" ht="15.75" customHeight="1">
      <c r="A191" s="27" t="s">
        <v>375</v>
      </c>
      <c r="B191" s="27" t="s">
        <v>34</v>
      </c>
      <c r="C191" s="27" t="s">
        <v>425</v>
      </c>
      <c r="D191" s="28">
        <v>45534</v>
      </c>
      <c r="E191" s="29" t="str">
        <f>TEXT(D191,"mmmm")</f>
        <v>August</v>
      </c>
      <c r="F191" s="18">
        <f>YEAR(D191)</f>
        <v>2024</v>
      </c>
      <c r="G191" s="29">
        <v>45848</v>
      </c>
      <c r="H191" s="30">
        <f>G191-D191+1</f>
        <v>315</v>
      </c>
      <c r="I191" s="32">
        <v>180609</v>
      </c>
      <c r="J191" s="32">
        <f>I191*H191/365</f>
        <v>155868.04109589042</v>
      </c>
      <c r="K191" s="32">
        <f>J191*5%</f>
        <v>7793.402054794522</v>
      </c>
      <c r="L191" s="32">
        <v>5000</v>
      </c>
      <c r="M191" s="32">
        <f>SUM(J191:L191)</f>
        <v>168661.44315068494</v>
      </c>
      <c r="N191" t="s">
        <v>193</v>
      </c>
      <c r="O191" t="s">
        <v>27</v>
      </c>
    </row>
    <row r="192" spans="1:15" ht="15.75" customHeight="1">
      <c r="A192" s="27" t="s">
        <v>93</v>
      </c>
      <c r="B192" s="27" t="s">
        <v>28</v>
      </c>
      <c r="C192" s="27" t="s">
        <v>400</v>
      </c>
      <c r="D192" s="28">
        <v>45536</v>
      </c>
      <c r="E192" s="29" t="str">
        <f>TEXT(D192,"mmmm")</f>
        <v>September</v>
      </c>
      <c r="F192" s="18">
        <f>YEAR(D192)</f>
        <v>2024</v>
      </c>
      <c r="G192" s="29">
        <v>45709</v>
      </c>
      <c r="H192" s="30">
        <f>G192-D192+1</f>
        <v>174</v>
      </c>
      <c r="I192" s="32">
        <v>297868</v>
      </c>
      <c r="J192" s="32">
        <f>I192*H192/365</f>
        <v>141997.34794520549</v>
      </c>
      <c r="K192" s="32">
        <f>J192*5%</f>
        <v>7099.8673972602746</v>
      </c>
      <c r="L192" s="32">
        <v>10000</v>
      </c>
      <c r="M192" s="32">
        <f>SUM(J192:L192)</f>
        <v>159097.21534246576</v>
      </c>
      <c r="N192" t="s">
        <v>193</v>
      </c>
      <c r="O192" t="s">
        <v>27</v>
      </c>
    </row>
    <row r="193" spans="1:15" ht="15.75" customHeight="1">
      <c r="A193" s="27" t="s">
        <v>93</v>
      </c>
      <c r="B193" s="27" t="s">
        <v>28</v>
      </c>
      <c r="C193" s="27" t="s">
        <v>401</v>
      </c>
      <c r="D193" s="28">
        <v>45536</v>
      </c>
      <c r="E193" s="29" t="str">
        <f>TEXT(D193,"mmmm")</f>
        <v>September</v>
      </c>
      <c r="F193" s="18">
        <f>YEAR(D193)</f>
        <v>2024</v>
      </c>
      <c r="G193" s="29">
        <v>45709</v>
      </c>
      <c r="H193" s="30">
        <f>G193-D193+1</f>
        <v>174</v>
      </c>
      <c r="I193" s="32">
        <v>297868</v>
      </c>
      <c r="J193" s="32">
        <f>I193*H193/365</f>
        <v>141997.34794520549</v>
      </c>
      <c r="K193" s="32">
        <f>J193*5%</f>
        <v>7099.8673972602746</v>
      </c>
      <c r="L193" s="32">
        <v>10000</v>
      </c>
      <c r="M193" s="32">
        <f>SUM(J193:L193)</f>
        <v>159097.21534246576</v>
      </c>
      <c r="N193" t="s">
        <v>193</v>
      </c>
      <c r="O193" t="s">
        <v>27</v>
      </c>
    </row>
    <row r="194" spans="1:15" ht="15.75" customHeight="1">
      <c r="A194" s="27" t="s">
        <v>93</v>
      </c>
      <c r="B194" s="27" t="s">
        <v>28</v>
      </c>
      <c r="C194" s="27" t="s">
        <v>402</v>
      </c>
      <c r="D194" s="28">
        <v>45536</v>
      </c>
      <c r="E194" s="29" t="str">
        <f>TEXT(D194,"mmmm")</f>
        <v>September</v>
      </c>
      <c r="F194" s="18">
        <f>YEAR(D194)</f>
        <v>2024</v>
      </c>
      <c r="G194" s="29">
        <v>45709</v>
      </c>
      <c r="H194" s="30">
        <f>G194-D194+1</f>
        <v>174</v>
      </c>
      <c r="I194" s="32">
        <v>133012</v>
      </c>
      <c r="J194" s="32">
        <f>I194*H194/365</f>
        <v>63408.460273972603</v>
      </c>
      <c r="K194" s="32">
        <f>J194*5%</f>
        <v>3170.4230136986303</v>
      </c>
      <c r="L194" s="32">
        <v>10000</v>
      </c>
      <c r="M194" s="32">
        <f>SUM(J194:L194)</f>
        <v>76578.88328767124</v>
      </c>
      <c r="N194" t="s">
        <v>193</v>
      </c>
      <c r="O194" t="s">
        <v>27</v>
      </c>
    </row>
    <row r="195" spans="1:15" ht="15.75" customHeight="1">
      <c r="A195" s="27" t="s">
        <v>116</v>
      </c>
      <c r="B195" s="27" t="s">
        <v>34</v>
      </c>
      <c r="C195" s="27" t="s">
        <v>403</v>
      </c>
      <c r="D195" s="28">
        <v>45536</v>
      </c>
      <c r="E195" s="29" t="str">
        <f>TEXT(D195,"mmmm")</f>
        <v>September</v>
      </c>
      <c r="F195" s="18">
        <f>YEAR(D195)</f>
        <v>2024</v>
      </c>
      <c r="G195" s="29">
        <v>45774</v>
      </c>
      <c r="H195" s="30">
        <f>G195-D195+1</f>
        <v>239</v>
      </c>
      <c r="I195" s="32">
        <v>490359</v>
      </c>
      <c r="J195" s="32">
        <f>I195*H195/365</f>
        <v>321084.38630136987</v>
      </c>
      <c r="K195" s="32">
        <f>J195*5%</f>
        <v>16054.219315068494</v>
      </c>
      <c r="L195" s="32">
        <v>5000</v>
      </c>
      <c r="M195" s="32">
        <f>SUM(J195:L195)</f>
        <v>342138.60561643838</v>
      </c>
      <c r="N195" t="s">
        <v>193</v>
      </c>
      <c r="O195" t="s">
        <v>27</v>
      </c>
    </row>
    <row r="196" spans="1:15" ht="15.75" customHeight="1">
      <c r="A196" s="27" t="s">
        <v>116</v>
      </c>
      <c r="B196" s="27" t="s">
        <v>34</v>
      </c>
      <c r="C196" s="27" t="s">
        <v>404</v>
      </c>
      <c r="D196" s="28">
        <v>45536</v>
      </c>
      <c r="E196" s="29" t="str">
        <f>TEXT(D196,"mmmm")</f>
        <v>September</v>
      </c>
      <c r="F196" s="18">
        <f>YEAR(D196)</f>
        <v>2024</v>
      </c>
      <c r="G196" s="29">
        <v>45774</v>
      </c>
      <c r="H196" s="30">
        <f>G196-D196+1</f>
        <v>239</v>
      </c>
      <c r="I196" s="32">
        <v>490359</v>
      </c>
      <c r="J196" s="32">
        <f>I196*H196/365</f>
        <v>321084.38630136987</v>
      </c>
      <c r="K196" s="32">
        <f>J196*5%</f>
        <v>16054.219315068494</v>
      </c>
      <c r="L196" s="32">
        <v>5000</v>
      </c>
      <c r="M196" s="32">
        <f>SUM(J196:L196)</f>
        <v>342138.60561643838</v>
      </c>
      <c r="N196" t="s">
        <v>193</v>
      </c>
      <c r="O196" t="s">
        <v>27</v>
      </c>
    </row>
    <row r="197" spans="1:15" ht="15.75" customHeight="1">
      <c r="A197" s="27" t="s">
        <v>116</v>
      </c>
      <c r="B197" s="27" t="s">
        <v>34</v>
      </c>
      <c r="C197" s="27" t="s">
        <v>405</v>
      </c>
      <c r="D197" s="28">
        <v>45536</v>
      </c>
      <c r="E197" s="29" t="str">
        <f>TEXT(D197,"mmmm")</f>
        <v>September</v>
      </c>
      <c r="F197" s="18">
        <f>YEAR(D197)</f>
        <v>2024</v>
      </c>
      <c r="G197" s="29">
        <v>45774</v>
      </c>
      <c r="H197" s="30">
        <f>G197-D197+1</f>
        <v>239</v>
      </c>
      <c r="I197" s="32">
        <v>490359</v>
      </c>
      <c r="J197" s="32">
        <f>I197*H197/365</f>
        <v>321084.38630136987</v>
      </c>
      <c r="K197" s="32">
        <f>J197*5%</f>
        <v>16054.219315068494</v>
      </c>
      <c r="L197" s="32">
        <v>5000</v>
      </c>
      <c r="M197" s="32">
        <f>SUM(J197:L197)</f>
        <v>342138.60561643838</v>
      </c>
      <c r="N197" t="s">
        <v>193</v>
      </c>
      <c r="O197" t="s">
        <v>27</v>
      </c>
    </row>
    <row r="198" spans="1:15" ht="15.75" customHeight="1">
      <c r="A198" s="27" t="s">
        <v>116</v>
      </c>
      <c r="B198" s="27" t="s">
        <v>34</v>
      </c>
      <c r="C198" s="27" t="s">
        <v>406</v>
      </c>
      <c r="D198" s="28">
        <v>45536</v>
      </c>
      <c r="E198" s="29" t="str">
        <f>TEXT(D198,"mmmm")</f>
        <v>September</v>
      </c>
      <c r="F198" s="18">
        <f>YEAR(D198)</f>
        <v>2024</v>
      </c>
      <c r="G198" s="29">
        <v>45774</v>
      </c>
      <c r="H198" s="30">
        <f>G198-D198+1</f>
        <v>239</v>
      </c>
      <c r="I198" s="32">
        <v>490359</v>
      </c>
      <c r="J198" s="32">
        <f>I198*H198/365</f>
        <v>321084.38630136987</v>
      </c>
      <c r="K198" s="32">
        <f>J198*5%</f>
        <v>16054.219315068494</v>
      </c>
      <c r="L198" s="32">
        <v>5000</v>
      </c>
      <c r="M198" s="32">
        <f>SUM(J198:L198)</f>
        <v>342138.60561643838</v>
      </c>
      <c r="N198" t="s">
        <v>193</v>
      </c>
      <c r="O198" t="s">
        <v>27</v>
      </c>
    </row>
    <row r="199" spans="1:15" ht="15.75" customHeight="1">
      <c r="A199" s="27" t="s">
        <v>116</v>
      </c>
      <c r="B199" s="27" t="s">
        <v>34</v>
      </c>
      <c r="C199" s="27" t="s">
        <v>407</v>
      </c>
      <c r="D199" s="28">
        <v>45536</v>
      </c>
      <c r="E199" s="29" t="str">
        <f>TEXT(D199,"mmmm")</f>
        <v>September</v>
      </c>
      <c r="F199" s="18">
        <f>YEAR(D199)</f>
        <v>2024</v>
      </c>
      <c r="G199" s="29">
        <v>45774</v>
      </c>
      <c r="H199" s="30">
        <f>G199-D199+1</f>
        <v>239</v>
      </c>
      <c r="I199" s="32">
        <v>490359</v>
      </c>
      <c r="J199" s="32">
        <f>I199*H199/365</f>
        <v>321084.38630136987</v>
      </c>
      <c r="K199" s="32">
        <f>J199*5%</f>
        <v>16054.219315068494</v>
      </c>
      <c r="L199" s="32">
        <v>5000</v>
      </c>
      <c r="M199" s="32">
        <f>SUM(J199:L199)</f>
        <v>342138.60561643838</v>
      </c>
      <c r="N199" t="s">
        <v>193</v>
      </c>
      <c r="O199" t="s">
        <v>27</v>
      </c>
    </row>
    <row r="200" spans="1:15" ht="15.75" customHeight="1">
      <c r="A200" s="27" t="s">
        <v>116</v>
      </c>
      <c r="B200" s="27" t="s">
        <v>34</v>
      </c>
      <c r="C200" s="27" t="s">
        <v>408</v>
      </c>
      <c r="D200" s="28">
        <v>45536</v>
      </c>
      <c r="E200" s="29" t="str">
        <f>TEXT(D200,"mmmm")</f>
        <v>September</v>
      </c>
      <c r="F200" s="18">
        <f>YEAR(D200)</f>
        <v>2024</v>
      </c>
      <c r="G200" s="29">
        <v>45774</v>
      </c>
      <c r="H200" s="30">
        <f>G200-D200+1</f>
        <v>239</v>
      </c>
      <c r="I200" s="32">
        <v>490359</v>
      </c>
      <c r="J200" s="32">
        <f>I200*H200/365</f>
        <v>321084.38630136987</v>
      </c>
      <c r="K200" s="32">
        <f>J200*5%</f>
        <v>16054.219315068494</v>
      </c>
      <c r="L200" s="32">
        <v>5000</v>
      </c>
      <c r="M200" s="32">
        <f>SUM(J200:L200)</f>
        <v>342138.60561643838</v>
      </c>
      <c r="N200" t="s">
        <v>193</v>
      </c>
      <c r="O200" t="s">
        <v>27</v>
      </c>
    </row>
    <row r="201" spans="1:15" ht="15.75" customHeight="1">
      <c r="A201" s="27" t="s">
        <v>116</v>
      </c>
      <c r="B201" s="27" t="s">
        <v>34</v>
      </c>
      <c r="C201" s="27" t="s">
        <v>409</v>
      </c>
      <c r="D201" s="28">
        <v>45536</v>
      </c>
      <c r="E201" s="29" t="str">
        <f>TEXT(D201,"mmmm")</f>
        <v>September</v>
      </c>
      <c r="F201" s="18">
        <f>YEAR(D201)</f>
        <v>2024</v>
      </c>
      <c r="G201" s="29">
        <v>45774</v>
      </c>
      <c r="H201" s="30">
        <f>G201-D201+1</f>
        <v>239</v>
      </c>
      <c r="I201" s="32">
        <v>490359</v>
      </c>
      <c r="J201" s="32">
        <f>I201*H201/365</f>
        <v>321084.38630136987</v>
      </c>
      <c r="K201" s="32">
        <f>J201*5%</f>
        <v>16054.219315068494</v>
      </c>
      <c r="L201" s="32">
        <v>5000</v>
      </c>
      <c r="M201" s="32">
        <f>SUM(J201:L201)</f>
        <v>342138.60561643838</v>
      </c>
      <c r="N201" t="s">
        <v>193</v>
      </c>
      <c r="O201" t="s">
        <v>27</v>
      </c>
    </row>
    <row r="202" spans="1:15" ht="15.75" customHeight="1">
      <c r="A202" s="27" t="s">
        <v>116</v>
      </c>
      <c r="B202" s="27" t="s">
        <v>34</v>
      </c>
      <c r="C202" s="27" t="s">
        <v>410</v>
      </c>
      <c r="D202" s="28">
        <v>45536</v>
      </c>
      <c r="E202" s="29" t="str">
        <f>TEXT(D202,"mmmm")</f>
        <v>September</v>
      </c>
      <c r="F202" s="18">
        <f>YEAR(D202)</f>
        <v>2024</v>
      </c>
      <c r="G202" s="29">
        <v>45774</v>
      </c>
      <c r="H202" s="30">
        <f>G202-D202+1</f>
        <v>239</v>
      </c>
      <c r="I202" s="32">
        <v>490359</v>
      </c>
      <c r="J202" s="32">
        <f>I202*H202/365</f>
        <v>321084.38630136987</v>
      </c>
      <c r="K202" s="32">
        <f>J202*5%</f>
        <v>16054.219315068494</v>
      </c>
      <c r="L202" s="32">
        <v>5000</v>
      </c>
      <c r="M202" s="32">
        <f>SUM(J202:L202)</f>
        <v>342138.60561643838</v>
      </c>
      <c r="N202" t="s">
        <v>193</v>
      </c>
      <c r="O202" t="s">
        <v>27</v>
      </c>
    </row>
    <row r="203" spans="1:15" ht="15.75" customHeight="1">
      <c r="A203" s="27" t="s">
        <v>116</v>
      </c>
      <c r="B203" s="27" t="s">
        <v>34</v>
      </c>
      <c r="C203" s="27" t="s">
        <v>411</v>
      </c>
      <c r="D203" s="28">
        <v>45536</v>
      </c>
      <c r="E203" s="29" t="str">
        <f>TEXT(D203,"mmmm")</f>
        <v>September</v>
      </c>
      <c r="F203" s="18">
        <f>YEAR(D203)</f>
        <v>2024</v>
      </c>
      <c r="G203" s="29">
        <v>45774</v>
      </c>
      <c r="H203" s="30">
        <f>G203-D203+1</f>
        <v>239</v>
      </c>
      <c r="I203" s="32">
        <v>490359</v>
      </c>
      <c r="J203" s="32">
        <f>I203*H203/365</f>
        <v>321084.38630136987</v>
      </c>
      <c r="K203" s="32">
        <f>J203*5%</f>
        <v>16054.219315068494</v>
      </c>
      <c r="L203" s="32">
        <v>5000</v>
      </c>
      <c r="M203" s="32">
        <f>SUM(J203:L203)</f>
        <v>342138.60561643838</v>
      </c>
      <c r="N203" t="s">
        <v>193</v>
      </c>
      <c r="O203" t="s">
        <v>27</v>
      </c>
    </row>
    <row r="204" spans="1:15" ht="15.75" customHeight="1">
      <c r="A204" s="27" t="s">
        <v>116</v>
      </c>
      <c r="B204" s="27" t="s">
        <v>34</v>
      </c>
      <c r="C204" s="27" t="s">
        <v>412</v>
      </c>
      <c r="D204" s="28">
        <v>45536</v>
      </c>
      <c r="E204" s="29" t="str">
        <f>TEXT(D204,"mmmm")</f>
        <v>September</v>
      </c>
      <c r="F204" s="18">
        <f>YEAR(D204)</f>
        <v>2024</v>
      </c>
      <c r="G204" s="29">
        <v>45774</v>
      </c>
      <c r="H204" s="30">
        <f>G204-D204+1</f>
        <v>239</v>
      </c>
      <c r="I204" s="32">
        <v>490359</v>
      </c>
      <c r="J204" s="32">
        <f>I204*H204/365</f>
        <v>321084.38630136987</v>
      </c>
      <c r="K204" s="32">
        <f>J204*5%</f>
        <v>16054.219315068494</v>
      </c>
      <c r="L204" s="32">
        <v>5000</v>
      </c>
      <c r="M204" s="32">
        <f>SUM(J204:L204)</f>
        <v>342138.60561643838</v>
      </c>
      <c r="N204" t="s">
        <v>193</v>
      </c>
      <c r="O204" t="s">
        <v>27</v>
      </c>
    </row>
    <row r="205" spans="1:15" ht="15.75" customHeight="1">
      <c r="A205" s="27" t="s">
        <v>116</v>
      </c>
      <c r="B205" s="27" t="s">
        <v>34</v>
      </c>
      <c r="C205" s="27" t="s">
        <v>413</v>
      </c>
      <c r="D205" s="28">
        <v>45536</v>
      </c>
      <c r="E205" s="29" t="str">
        <f>TEXT(D205,"mmmm")</f>
        <v>September</v>
      </c>
      <c r="F205" s="18">
        <f>YEAR(D205)</f>
        <v>2024</v>
      </c>
      <c r="G205" s="29">
        <v>45774</v>
      </c>
      <c r="H205" s="30">
        <f>G205-D205+1</f>
        <v>239</v>
      </c>
      <c r="I205" s="32">
        <v>490359</v>
      </c>
      <c r="J205" s="32">
        <f>I205*H205/365</f>
        <v>321084.38630136987</v>
      </c>
      <c r="K205" s="32">
        <f>J205*5%</f>
        <v>16054.219315068494</v>
      </c>
      <c r="L205" s="32">
        <v>5000</v>
      </c>
      <c r="M205" s="32">
        <f>SUM(J205:L205)</f>
        <v>342138.60561643838</v>
      </c>
      <c r="N205" t="s">
        <v>193</v>
      </c>
      <c r="O205" t="s">
        <v>27</v>
      </c>
    </row>
    <row r="206" spans="1:15" ht="15.75" customHeight="1">
      <c r="A206" s="27" t="s">
        <v>116</v>
      </c>
      <c r="B206" s="27" t="s">
        <v>34</v>
      </c>
      <c r="C206" s="27" t="s">
        <v>414</v>
      </c>
      <c r="D206" s="28">
        <v>45536</v>
      </c>
      <c r="E206" s="29" t="str">
        <f>TEXT(D206,"mmmm")</f>
        <v>September</v>
      </c>
      <c r="F206" s="18">
        <f>YEAR(D206)</f>
        <v>2024</v>
      </c>
      <c r="G206" s="29">
        <v>45774</v>
      </c>
      <c r="H206" s="30">
        <f>G206-D206+1</f>
        <v>239</v>
      </c>
      <c r="I206" s="32">
        <v>490359</v>
      </c>
      <c r="J206" s="32">
        <f>I206*H206/365</f>
        <v>321084.38630136987</v>
      </c>
      <c r="K206" s="32">
        <f>J206*5%</f>
        <v>16054.219315068494</v>
      </c>
      <c r="L206" s="32">
        <v>5000</v>
      </c>
      <c r="M206" s="32">
        <f>SUM(J206:L206)</f>
        <v>342138.60561643838</v>
      </c>
      <c r="N206" t="s">
        <v>193</v>
      </c>
      <c r="O206" t="s">
        <v>27</v>
      </c>
    </row>
    <row r="207" spans="1:15" ht="15.75" customHeight="1">
      <c r="A207" s="27" t="s">
        <v>116</v>
      </c>
      <c r="B207" s="27" t="s">
        <v>34</v>
      </c>
      <c r="C207" s="27" t="s">
        <v>415</v>
      </c>
      <c r="D207" s="28">
        <v>45536</v>
      </c>
      <c r="E207" s="29" t="str">
        <f>TEXT(D207,"mmmm")</f>
        <v>September</v>
      </c>
      <c r="F207" s="18">
        <f>YEAR(D207)</f>
        <v>2024</v>
      </c>
      <c r="G207" s="29">
        <v>45774</v>
      </c>
      <c r="H207" s="30">
        <f>G207-D207+1</f>
        <v>239</v>
      </c>
      <c r="I207" s="32">
        <v>490359</v>
      </c>
      <c r="J207" s="32">
        <f>I207*H207/365</f>
        <v>321084.38630136987</v>
      </c>
      <c r="K207" s="32">
        <f>J207*5%</f>
        <v>16054.219315068494</v>
      </c>
      <c r="L207" s="32">
        <v>5000</v>
      </c>
      <c r="M207" s="32">
        <f>SUM(J207:L207)</f>
        <v>342138.60561643838</v>
      </c>
      <c r="N207" t="s">
        <v>193</v>
      </c>
      <c r="O207" t="s">
        <v>27</v>
      </c>
    </row>
    <row r="208" spans="1:15" ht="15.75" customHeight="1">
      <c r="A208" s="27" t="s">
        <v>116</v>
      </c>
      <c r="B208" s="27" t="s">
        <v>34</v>
      </c>
      <c r="C208" s="27" t="s">
        <v>416</v>
      </c>
      <c r="D208" s="28">
        <v>45536</v>
      </c>
      <c r="E208" s="29" t="str">
        <f>TEXT(D208,"mmmm")</f>
        <v>September</v>
      </c>
      <c r="F208" s="18">
        <f>YEAR(D208)</f>
        <v>2024</v>
      </c>
      <c r="G208" s="29">
        <v>45774</v>
      </c>
      <c r="H208" s="30">
        <f>G208-D208+1</f>
        <v>239</v>
      </c>
      <c r="I208" s="32">
        <v>490359</v>
      </c>
      <c r="J208" s="32">
        <f>I208*H208/365</f>
        <v>321084.38630136987</v>
      </c>
      <c r="K208" s="32">
        <f>J208*5%</f>
        <v>16054.219315068494</v>
      </c>
      <c r="L208" s="32">
        <v>5000</v>
      </c>
      <c r="M208" s="32">
        <f>SUM(J208:L208)</f>
        <v>342138.60561643838</v>
      </c>
      <c r="N208" t="s">
        <v>193</v>
      </c>
      <c r="O208" t="s">
        <v>27</v>
      </c>
    </row>
    <row r="209" spans="1:15" ht="15.75" customHeight="1">
      <c r="A209" s="27" t="s">
        <v>116</v>
      </c>
      <c r="B209" s="27" t="s">
        <v>34</v>
      </c>
      <c r="C209" s="27" t="s">
        <v>417</v>
      </c>
      <c r="D209" s="28">
        <v>45536</v>
      </c>
      <c r="E209" s="29" t="str">
        <f>TEXT(D209,"mmmm")</f>
        <v>September</v>
      </c>
      <c r="F209" s="18">
        <f>YEAR(D209)</f>
        <v>2024</v>
      </c>
      <c r="G209" s="29">
        <v>45774</v>
      </c>
      <c r="H209" s="30">
        <f>G209-D209+1</f>
        <v>239</v>
      </c>
      <c r="I209" s="32">
        <v>490359</v>
      </c>
      <c r="J209" s="32">
        <f>I209*H209/365</f>
        <v>321084.38630136987</v>
      </c>
      <c r="K209" s="32">
        <f>J209*5%</f>
        <v>16054.219315068494</v>
      </c>
      <c r="L209" s="32">
        <v>5000</v>
      </c>
      <c r="M209" s="32">
        <f>SUM(J209:L209)</f>
        <v>342138.60561643838</v>
      </c>
      <c r="N209" t="s">
        <v>193</v>
      </c>
      <c r="O209" t="s">
        <v>27</v>
      </c>
    </row>
    <row r="210" spans="1:15" ht="15.75" customHeight="1">
      <c r="A210" s="27" t="s">
        <v>116</v>
      </c>
      <c r="B210" s="27" t="s">
        <v>34</v>
      </c>
      <c r="C210" s="27" t="s">
        <v>418</v>
      </c>
      <c r="D210" s="28">
        <v>45536</v>
      </c>
      <c r="E210" s="29" t="str">
        <f>TEXT(D210,"mmmm")</f>
        <v>September</v>
      </c>
      <c r="F210" s="18">
        <f>YEAR(D210)</f>
        <v>2024</v>
      </c>
      <c r="G210" s="29">
        <v>45774</v>
      </c>
      <c r="H210" s="30">
        <f>G210-D210+1</f>
        <v>239</v>
      </c>
      <c r="I210" s="32">
        <v>490359</v>
      </c>
      <c r="J210" s="32">
        <f>I210*H210/365</f>
        <v>321084.38630136987</v>
      </c>
      <c r="K210" s="32">
        <f>J210*5%</f>
        <v>16054.219315068494</v>
      </c>
      <c r="L210" s="32">
        <v>5000</v>
      </c>
      <c r="M210" s="32">
        <f>SUM(J210:L210)</f>
        <v>342138.60561643838</v>
      </c>
      <c r="N210" t="s">
        <v>193</v>
      </c>
      <c r="O210" t="s">
        <v>27</v>
      </c>
    </row>
    <row r="211" spans="1:15" ht="15.75" customHeight="1">
      <c r="A211" s="27" t="s">
        <v>116</v>
      </c>
      <c r="B211" s="27" t="s">
        <v>34</v>
      </c>
      <c r="C211" s="27" t="s">
        <v>419</v>
      </c>
      <c r="D211" s="28">
        <v>45536</v>
      </c>
      <c r="E211" s="29" t="str">
        <f>TEXT(D211,"mmmm")</f>
        <v>September</v>
      </c>
      <c r="F211" s="18">
        <f>YEAR(D211)</f>
        <v>2024</v>
      </c>
      <c r="G211" s="29">
        <v>45774</v>
      </c>
      <c r="H211" s="30">
        <f>G211-D211+1</f>
        <v>239</v>
      </c>
      <c r="I211" s="32">
        <v>1020717</v>
      </c>
      <c r="J211" s="32">
        <f>I211*H211/365</f>
        <v>668359.89863013697</v>
      </c>
      <c r="K211" s="32">
        <f>J211*5%</f>
        <v>33417.994931506852</v>
      </c>
      <c r="L211" s="32">
        <v>15000</v>
      </c>
      <c r="M211" s="32">
        <f>SUM(J211:L211)</f>
        <v>716777.89356164378</v>
      </c>
      <c r="N211" t="s">
        <v>193</v>
      </c>
      <c r="O211" t="s">
        <v>27</v>
      </c>
    </row>
    <row r="212" spans="1:15" ht="15.75" customHeight="1">
      <c r="A212" s="27" t="s">
        <v>116</v>
      </c>
      <c r="B212" s="27" t="s">
        <v>34</v>
      </c>
      <c r="C212" s="27" t="s">
        <v>420</v>
      </c>
      <c r="D212" s="28">
        <v>45536</v>
      </c>
      <c r="E212" s="29" t="str">
        <f>TEXT(D212,"mmmm")</f>
        <v>September</v>
      </c>
      <c r="F212" s="18">
        <f>YEAR(D212)</f>
        <v>2024</v>
      </c>
      <c r="G212" s="29">
        <v>45774</v>
      </c>
      <c r="H212" s="30">
        <f>G212-D212+1</f>
        <v>239</v>
      </c>
      <c r="I212" s="32">
        <v>1020717</v>
      </c>
      <c r="J212" s="32">
        <f>I212*H212/365</f>
        <v>668359.89863013697</v>
      </c>
      <c r="K212" s="32">
        <f>J212*5%</f>
        <v>33417.994931506852</v>
      </c>
      <c r="L212" s="32">
        <v>15000</v>
      </c>
      <c r="M212" s="32">
        <f>SUM(J212:L212)</f>
        <v>716777.89356164378</v>
      </c>
      <c r="N212" t="s">
        <v>193</v>
      </c>
      <c r="O212" t="s">
        <v>27</v>
      </c>
    </row>
    <row r="213" spans="1:15" ht="15.75" customHeight="1">
      <c r="A213" s="27" t="s">
        <v>116</v>
      </c>
      <c r="B213" s="27" t="s">
        <v>34</v>
      </c>
      <c r="C213" s="27" t="s">
        <v>421</v>
      </c>
      <c r="D213" s="28">
        <v>45536</v>
      </c>
      <c r="E213" s="29" t="str">
        <f>TEXT(D213,"mmmm")</f>
        <v>September</v>
      </c>
      <c r="F213" s="18">
        <f>YEAR(D213)</f>
        <v>2024</v>
      </c>
      <c r="G213" s="29">
        <v>45774</v>
      </c>
      <c r="H213" s="30">
        <f>G213-D213+1</f>
        <v>239</v>
      </c>
      <c r="I213" s="32">
        <v>1020717</v>
      </c>
      <c r="J213" s="32">
        <f>I213*H213/365</f>
        <v>668359.89863013697</v>
      </c>
      <c r="K213" s="32">
        <f>J213*5%</f>
        <v>33417.994931506852</v>
      </c>
      <c r="L213" s="32">
        <v>15000</v>
      </c>
      <c r="M213" s="32">
        <f>SUM(J213:L213)</f>
        <v>716777.89356164378</v>
      </c>
      <c r="N213" t="s">
        <v>193</v>
      </c>
      <c r="O213" t="s">
        <v>27</v>
      </c>
    </row>
    <row r="214" spans="1:15" ht="15.75" customHeight="1">
      <c r="A214" s="27" t="s">
        <v>116</v>
      </c>
      <c r="B214" s="27" t="s">
        <v>34</v>
      </c>
      <c r="C214" s="27" t="s">
        <v>422</v>
      </c>
      <c r="D214" s="28">
        <v>45536</v>
      </c>
      <c r="E214" s="29" t="str">
        <f>TEXT(D214,"mmmm")</f>
        <v>September</v>
      </c>
      <c r="F214" s="18">
        <f>YEAR(D214)</f>
        <v>2024</v>
      </c>
      <c r="G214" s="29">
        <v>45774</v>
      </c>
      <c r="H214" s="30">
        <f>G214-D214+1</f>
        <v>239</v>
      </c>
      <c r="I214" s="32">
        <v>393139</v>
      </c>
      <c r="J214" s="32">
        <f>I214*H214/365</f>
        <v>257425.26301369863</v>
      </c>
      <c r="K214" s="32">
        <f>J214*5%</f>
        <v>12871.263150684932</v>
      </c>
      <c r="L214" s="32">
        <v>5000</v>
      </c>
      <c r="M214" s="32">
        <f>SUM(J214:L214)</f>
        <v>275296.52616438357</v>
      </c>
      <c r="N214" t="s">
        <v>193</v>
      </c>
      <c r="O214" t="s">
        <v>27</v>
      </c>
    </row>
    <row r="215" spans="1:15" ht="15.75" customHeight="1">
      <c r="A215" s="27" t="s">
        <v>116</v>
      </c>
      <c r="B215" s="27" t="s">
        <v>34</v>
      </c>
      <c r="C215" s="27" t="s">
        <v>423</v>
      </c>
      <c r="D215" s="28">
        <v>45536</v>
      </c>
      <c r="E215" s="29" t="str">
        <f>TEXT(D215,"mmmm")</f>
        <v>September</v>
      </c>
      <c r="F215" s="18">
        <f>YEAR(D215)</f>
        <v>2024</v>
      </c>
      <c r="G215" s="29">
        <v>45774</v>
      </c>
      <c r="H215" s="30">
        <f>G215-D215+1</f>
        <v>239</v>
      </c>
      <c r="I215" s="32">
        <v>137219</v>
      </c>
      <c r="J215" s="32">
        <f>I215*H215/365</f>
        <v>89850.24931506849</v>
      </c>
      <c r="K215" s="32">
        <f>J215*5%</f>
        <v>4492.5124657534243</v>
      </c>
      <c r="L215" s="32">
        <v>5000</v>
      </c>
      <c r="M215" s="32">
        <f>SUM(J215:L215)</f>
        <v>99342.761780821907</v>
      </c>
      <c r="N215" t="s">
        <v>193</v>
      </c>
      <c r="O215" t="s">
        <v>27</v>
      </c>
    </row>
    <row r="216" spans="1:15" ht="15.75" customHeight="1">
      <c r="A216" s="27" t="s">
        <v>47</v>
      </c>
      <c r="B216" s="27" t="s">
        <v>40</v>
      </c>
      <c r="C216" s="27" t="s">
        <v>426</v>
      </c>
      <c r="D216" s="28">
        <v>45538</v>
      </c>
      <c r="E216" s="29" t="str">
        <f>TEXT(D216,"mmmm")</f>
        <v>September</v>
      </c>
      <c r="F216" s="18">
        <f>YEAR(D216)</f>
        <v>2024</v>
      </c>
      <c r="G216" s="29">
        <v>45859</v>
      </c>
      <c r="H216" s="30">
        <f>G216-D216+1</f>
        <v>322</v>
      </c>
      <c r="I216" s="32">
        <v>2308541</v>
      </c>
      <c r="J216" s="32">
        <f>I216*H216/365</f>
        <v>2036575.895890411</v>
      </c>
      <c r="K216" s="32">
        <f>J216*5%</f>
        <v>101828.79479452055</v>
      </c>
      <c r="L216" s="32">
        <v>20000</v>
      </c>
      <c r="M216" s="32">
        <f>SUM(J216:L216)</f>
        <v>2158404.6906849314</v>
      </c>
      <c r="N216" t="s">
        <v>193</v>
      </c>
      <c r="O216" t="s">
        <v>27</v>
      </c>
    </row>
    <row r="217" spans="1:15" ht="15.75" customHeight="1">
      <c r="A217" s="27" t="s">
        <v>427</v>
      </c>
      <c r="B217" s="27" t="s">
        <v>28</v>
      </c>
      <c r="C217" s="27" t="s">
        <v>431</v>
      </c>
      <c r="D217" s="28">
        <v>45538</v>
      </c>
      <c r="E217" s="29" t="str">
        <f>TEXT(D217,"mmmm")</f>
        <v>September</v>
      </c>
      <c r="F217" s="18">
        <f>YEAR(D217)</f>
        <v>2024</v>
      </c>
      <c r="G217" s="29">
        <v>45876</v>
      </c>
      <c r="H217" s="30">
        <f>G217-D217+1</f>
        <v>339</v>
      </c>
      <c r="I217" s="32">
        <v>875443</v>
      </c>
      <c r="J217" s="32">
        <f>I217*H217/365</f>
        <v>813082.6767123288</v>
      </c>
      <c r="K217" s="32">
        <f>J217*5%</f>
        <v>40654.133835616442</v>
      </c>
      <c r="L217" s="32">
        <v>10000</v>
      </c>
      <c r="M217" s="32">
        <f>SUM(J217:L217)</f>
        <v>863736.81054794521</v>
      </c>
      <c r="N217" t="s">
        <v>193</v>
      </c>
      <c r="O217" t="s">
        <v>27</v>
      </c>
    </row>
    <row r="218" spans="1:15" ht="15.75" customHeight="1">
      <c r="A218" s="27" t="s">
        <v>427</v>
      </c>
      <c r="B218" s="27" t="s">
        <v>28</v>
      </c>
      <c r="C218" s="27" t="s">
        <v>428</v>
      </c>
      <c r="D218" s="28">
        <v>45539</v>
      </c>
      <c r="E218" s="29" t="str">
        <f>TEXT(D218,"mmmm")</f>
        <v>September</v>
      </c>
      <c r="F218" s="18">
        <f>YEAR(D218)</f>
        <v>2024</v>
      </c>
      <c r="G218" s="29">
        <v>45876</v>
      </c>
      <c r="H218" s="30">
        <f>G218-D218+1</f>
        <v>338</v>
      </c>
      <c r="I218" s="32">
        <v>875443</v>
      </c>
      <c r="J218" s="32">
        <f>I218*H218/365</f>
        <v>810684.20273972605</v>
      </c>
      <c r="K218" s="32">
        <f>J218*5%</f>
        <v>40534.210136986308</v>
      </c>
      <c r="L218" s="32">
        <v>30000</v>
      </c>
      <c r="M218" s="32">
        <f>SUM(J218:L218)</f>
        <v>881218.41287671239</v>
      </c>
      <c r="N218" t="s">
        <v>193</v>
      </c>
      <c r="O218" t="s">
        <v>27</v>
      </c>
    </row>
    <row r="219" spans="1:15" ht="15.75" customHeight="1">
      <c r="A219" s="27" t="s">
        <v>427</v>
      </c>
      <c r="B219" s="27" t="s">
        <v>28</v>
      </c>
      <c r="C219" s="27" t="s">
        <v>429</v>
      </c>
      <c r="D219" s="28">
        <v>45539</v>
      </c>
      <c r="E219" s="29" t="str">
        <f>TEXT(D219,"mmmm")</f>
        <v>September</v>
      </c>
      <c r="F219" s="18">
        <f>YEAR(D219)</f>
        <v>2024</v>
      </c>
      <c r="G219" s="29">
        <v>45876</v>
      </c>
      <c r="H219" s="30">
        <f>G219-D219+1</f>
        <v>338</v>
      </c>
      <c r="I219" s="32">
        <v>875443</v>
      </c>
      <c r="J219" s="32">
        <f>I219*H219/365</f>
        <v>810684.20273972605</v>
      </c>
      <c r="K219" s="32">
        <f>J219*5%</f>
        <v>40534.210136986308</v>
      </c>
      <c r="L219" s="32">
        <v>70000</v>
      </c>
      <c r="M219" s="32">
        <f>SUM(J219:L219)</f>
        <v>921218.41287671239</v>
      </c>
      <c r="N219" t="s">
        <v>193</v>
      </c>
      <c r="O219" t="s">
        <v>27</v>
      </c>
    </row>
    <row r="220" spans="1:15" ht="15.75" customHeight="1">
      <c r="A220" s="27" t="s">
        <v>427</v>
      </c>
      <c r="B220" s="27" t="s">
        <v>28</v>
      </c>
      <c r="C220" s="27" t="s">
        <v>430</v>
      </c>
      <c r="D220" s="28">
        <v>45539</v>
      </c>
      <c r="E220" s="29" t="str">
        <f>TEXT(D220,"mmmm")</f>
        <v>September</v>
      </c>
      <c r="F220" s="18">
        <f>YEAR(D220)</f>
        <v>2024</v>
      </c>
      <c r="G220" s="29">
        <v>45876</v>
      </c>
      <c r="H220" s="30">
        <f>G220-D220+1</f>
        <v>338</v>
      </c>
      <c r="I220" s="32">
        <v>875443</v>
      </c>
      <c r="J220" s="32">
        <f>I220*H220/365</f>
        <v>810684.20273972605</v>
      </c>
      <c r="K220" s="32">
        <f>J220*5%</f>
        <v>40534.210136986308</v>
      </c>
      <c r="L220" s="32">
        <v>50000</v>
      </c>
      <c r="M220" s="32">
        <f>SUM(J220:L220)</f>
        <v>901218.41287671239</v>
      </c>
      <c r="N220" t="s">
        <v>193</v>
      </c>
      <c r="O220" t="s">
        <v>27</v>
      </c>
    </row>
    <row r="221" spans="1:15" ht="15.75" customHeight="1">
      <c r="A221" s="27" t="s">
        <v>55</v>
      </c>
      <c r="B221" s="27" t="s">
        <v>28</v>
      </c>
      <c r="C221" s="95" t="s">
        <v>330</v>
      </c>
      <c r="D221" s="97">
        <v>45571</v>
      </c>
      <c r="E221" s="29" t="str">
        <f>TEXT(D221,"mmmm")</f>
        <v>October</v>
      </c>
      <c r="F221" s="18">
        <f>YEAR(D221)</f>
        <v>2024</v>
      </c>
      <c r="G221" s="99">
        <v>45422</v>
      </c>
      <c r="H221" s="101">
        <v>118</v>
      </c>
      <c r="I221" s="43">
        <v>377700</v>
      </c>
      <c r="J221" s="43">
        <v>122106</v>
      </c>
      <c r="K221" s="43">
        <v>6105</v>
      </c>
      <c r="L221" s="43">
        <v>3000</v>
      </c>
      <c r="M221" s="43">
        <v>131211</v>
      </c>
      <c r="N221" t="s">
        <v>193</v>
      </c>
      <c r="O221" t="s">
        <v>27</v>
      </c>
    </row>
    <row r="222" spans="1:15" ht="15.75" customHeight="1">
      <c r="A222" s="27" t="s">
        <v>55</v>
      </c>
      <c r="B222" s="27" t="s">
        <v>28</v>
      </c>
      <c r="C222" s="95" t="s">
        <v>331</v>
      </c>
      <c r="D222" s="97">
        <v>45571</v>
      </c>
      <c r="E222" s="29" t="str">
        <f>TEXT(D222,"mmmm")</f>
        <v>October</v>
      </c>
      <c r="F222" s="18">
        <f>YEAR(D222)</f>
        <v>2024</v>
      </c>
      <c r="G222" s="99">
        <v>45422</v>
      </c>
      <c r="H222" s="101">
        <v>118</v>
      </c>
      <c r="I222" s="43">
        <v>377700</v>
      </c>
      <c r="J222" s="43">
        <v>122106</v>
      </c>
      <c r="K222" s="43">
        <v>6105</v>
      </c>
      <c r="L222" s="43">
        <v>3000</v>
      </c>
      <c r="M222" s="43">
        <v>131211</v>
      </c>
      <c r="N222" t="s">
        <v>193</v>
      </c>
      <c r="O222" t="s">
        <v>27</v>
      </c>
    </row>
    <row r="223" spans="1:15" ht="15.75" customHeight="1">
      <c r="A223" s="27" t="s">
        <v>55</v>
      </c>
      <c r="B223" s="27" t="s">
        <v>28</v>
      </c>
      <c r="C223" s="95" t="s">
        <v>332</v>
      </c>
      <c r="D223" s="97">
        <v>45571</v>
      </c>
      <c r="E223" s="29" t="str">
        <f>TEXT(D223,"mmmm")</f>
        <v>October</v>
      </c>
      <c r="F223" s="18">
        <f>YEAR(D223)</f>
        <v>2024</v>
      </c>
      <c r="G223" s="99">
        <v>45422</v>
      </c>
      <c r="H223" s="101">
        <v>118</v>
      </c>
      <c r="I223" s="43">
        <v>377700</v>
      </c>
      <c r="J223" s="43">
        <v>122106</v>
      </c>
      <c r="K223" s="43">
        <v>6105</v>
      </c>
      <c r="L223" s="43">
        <v>3000</v>
      </c>
      <c r="M223" s="43">
        <v>131211</v>
      </c>
      <c r="N223" t="s">
        <v>193</v>
      </c>
      <c r="O223" t="s">
        <v>27</v>
      </c>
    </row>
    <row r="224" spans="1:15" ht="15.75" customHeight="1">
      <c r="A224" s="27" t="s">
        <v>373</v>
      </c>
      <c r="B224" s="27" t="s">
        <v>34</v>
      </c>
      <c r="C224" s="27" t="s">
        <v>374</v>
      </c>
      <c r="D224" s="28">
        <v>45572</v>
      </c>
      <c r="E224" s="29" t="str">
        <f>TEXT(D224,"mmmm")</f>
        <v>October</v>
      </c>
      <c r="F224" s="18">
        <f>YEAR(D224)</f>
        <v>2024</v>
      </c>
      <c r="G224" s="29">
        <v>45901</v>
      </c>
      <c r="H224" s="30">
        <v>184</v>
      </c>
      <c r="I224" s="32">
        <v>1099448</v>
      </c>
      <c r="J224" s="32">
        <v>554242</v>
      </c>
      <c r="K224" s="32">
        <v>27712</v>
      </c>
      <c r="L224" s="32">
        <v>30000</v>
      </c>
      <c r="M224" s="32">
        <v>611954</v>
      </c>
      <c r="N224" t="s">
        <v>193</v>
      </c>
      <c r="O224" t="s">
        <v>27</v>
      </c>
    </row>
    <row r="225" spans="1:15" ht="15.75" customHeight="1">
      <c r="A225" s="27" t="s">
        <v>148</v>
      </c>
      <c r="B225" s="27" t="s">
        <v>28</v>
      </c>
      <c r="C225" s="27" t="s">
        <v>481</v>
      </c>
      <c r="D225" s="28">
        <v>45547</v>
      </c>
      <c r="E225" s="29" t="str">
        <f t="shared" ref="E225:E273" si="0">TEXT(D225,"mmmm")</f>
        <v>September</v>
      </c>
      <c r="F225" s="18">
        <f t="shared" ref="F225:F273" si="1">YEAR(D225)</f>
        <v>2024</v>
      </c>
      <c r="G225" s="29" t="s">
        <v>482</v>
      </c>
      <c r="H225" s="30">
        <v>194</v>
      </c>
      <c r="I225" s="32">
        <v>1298121</v>
      </c>
      <c r="J225" s="32">
        <v>689960</v>
      </c>
      <c r="K225" s="32">
        <v>34498</v>
      </c>
      <c r="L225" s="32">
        <v>25000</v>
      </c>
      <c r="M225" s="32">
        <v>749458</v>
      </c>
      <c r="N225" t="s">
        <v>193</v>
      </c>
      <c r="O225" t="s">
        <v>27</v>
      </c>
    </row>
    <row r="226" spans="1:15" ht="15.75" customHeight="1">
      <c r="A226" s="27" t="s">
        <v>297</v>
      </c>
      <c r="B226" s="27" t="s">
        <v>28</v>
      </c>
      <c r="C226" s="95" t="s">
        <v>483</v>
      </c>
      <c r="D226" s="97">
        <v>45547</v>
      </c>
      <c r="E226" s="29" t="str">
        <f t="shared" si="0"/>
        <v>September</v>
      </c>
      <c r="F226" s="18">
        <f t="shared" si="1"/>
        <v>2024</v>
      </c>
      <c r="G226" s="99">
        <v>45995</v>
      </c>
      <c r="H226" s="101">
        <v>125</v>
      </c>
      <c r="I226" s="43">
        <v>372295</v>
      </c>
      <c r="J226" s="43">
        <v>127498</v>
      </c>
      <c r="K226" s="43">
        <v>6375</v>
      </c>
      <c r="L226" s="43">
        <v>10000</v>
      </c>
      <c r="M226" s="43">
        <v>143873</v>
      </c>
      <c r="N226" t="s">
        <v>193</v>
      </c>
      <c r="O226" t="s">
        <v>27</v>
      </c>
    </row>
    <row r="227" spans="1:15" ht="15.75" customHeight="1">
      <c r="A227" s="27" t="s">
        <v>465</v>
      </c>
      <c r="B227" s="27" t="s">
        <v>28</v>
      </c>
      <c r="C227" s="95" t="s">
        <v>484</v>
      </c>
      <c r="D227" s="97">
        <v>45394</v>
      </c>
      <c r="E227" s="29" t="str">
        <f t="shared" si="0"/>
        <v>April</v>
      </c>
      <c r="F227" s="18">
        <f t="shared" si="1"/>
        <v>2024</v>
      </c>
      <c r="G227" s="99" t="s">
        <v>485</v>
      </c>
      <c r="H227" s="101">
        <v>301</v>
      </c>
      <c r="I227" s="43">
        <v>134219</v>
      </c>
      <c r="J227" s="43">
        <v>110685</v>
      </c>
      <c r="K227" s="43">
        <v>5534</v>
      </c>
      <c r="L227" s="43">
        <v>10000</v>
      </c>
      <c r="M227" s="43">
        <v>126219</v>
      </c>
      <c r="N227" t="s">
        <v>193</v>
      </c>
      <c r="O227" t="s">
        <v>27</v>
      </c>
    </row>
    <row r="228" spans="1:15" ht="15.75" customHeight="1">
      <c r="A228" s="27" t="s">
        <v>465</v>
      </c>
      <c r="B228" s="27" t="s">
        <v>28</v>
      </c>
      <c r="C228" s="95" t="s">
        <v>486</v>
      </c>
      <c r="D228" s="97">
        <v>45394</v>
      </c>
      <c r="E228" s="29" t="str">
        <f t="shared" si="0"/>
        <v>April</v>
      </c>
      <c r="F228" s="18">
        <f t="shared" si="1"/>
        <v>2024</v>
      </c>
      <c r="G228" s="99" t="s">
        <v>485</v>
      </c>
      <c r="H228" s="101">
        <v>301</v>
      </c>
      <c r="I228" s="43">
        <v>849490</v>
      </c>
      <c r="J228" s="43">
        <v>700538</v>
      </c>
      <c r="K228" s="43">
        <v>35027</v>
      </c>
      <c r="L228" s="43">
        <v>40000</v>
      </c>
      <c r="M228" s="43">
        <v>775565</v>
      </c>
      <c r="N228" t="s">
        <v>193</v>
      </c>
      <c r="O228" t="s">
        <v>27</v>
      </c>
    </row>
    <row r="229" spans="1:15" ht="15.75" customHeight="1">
      <c r="A229" s="27" t="s">
        <v>373</v>
      </c>
      <c r="B229" s="27" t="s">
        <v>34</v>
      </c>
      <c r="C229" s="27" t="s">
        <v>487</v>
      </c>
      <c r="D229" s="28">
        <v>45622</v>
      </c>
      <c r="E229" s="29" t="str">
        <f t="shared" si="0"/>
        <v>November</v>
      </c>
      <c r="F229" s="18">
        <f t="shared" si="1"/>
        <v>2024</v>
      </c>
      <c r="G229" s="29">
        <v>45901</v>
      </c>
      <c r="H229" s="30">
        <v>45</v>
      </c>
      <c r="I229" s="32">
        <v>874180</v>
      </c>
      <c r="J229" s="32">
        <v>107776</v>
      </c>
      <c r="K229" s="32">
        <v>5389</v>
      </c>
      <c r="L229" s="32">
        <v>10000</v>
      </c>
      <c r="M229" s="32">
        <v>123164</v>
      </c>
      <c r="N229" t="s">
        <v>193</v>
      </c>
      <c r="O229" t="s">
        <v>27</v>
      </c>
    </row>
    <row r="230" spans="1:15" ht="15.75" customHeight="1">
      <c r="A230" s="27" t="s">
        <v>116</v>
      </c>
      <c r="B230" s="27" t="s">
        <v>34</v>
      </c>
      <c r="C230" s="27" t="s">
        <v>488</v>
      </c>
      <c r="D230" s="28">
        <v>45621</v>
      </c>
      <c r="E230" s="29" t="str">
        <f t="shared" si="0"/>
        <v>November</v>
      </c>
      <c r="F230" s="18">
        <f t="shared" si="1"/>
        <v>2024</v>
      </c>
      <c r="G230" s="29" t="s">
        <v>489</v>
      </c>
      <c r="H230" s="30">
        <v>154</v>
      </c>
      <c r="I230" s="32">
        <v>174031</v>
      </c>
      <c r="J230" s="32">
        <v>73427</v>
      </c>
      <c r="K230" s="32">
        <v>3671</v>
      </c>
      <c r="L230" s="32">
        <v>5000</v>
      </c>
      <c r="M230" s="32">
        <v>82098</v>
      </c>
      <c r="N230" t="s">
        <v>193</v>
      </c>
      <c r="O230" t="s">
        <v>27</v>
      </c>
    </row>
    <row r="231" spans="1:15" ht="15.75" customHeight="1">
      <c r="A231" s="27" t="s">
        <v>116</v>
      </c>
      <c r="B231" s="27" t="s">
        <v>34</v>
      </c>
      <c r="C231" s="95" t="s">
        <v>490</v>
      </c>
      <c r="D231" s="28">
        <v>45621</v>
      </c>
      <c r="E231" s="29" t="str">
        <f t="shared" si="0"/>
        <v>November</v>
      </c>
      <c r="F231" s="18">
        <f t="shared" si="1"/>
        <v>2024</v>
      </c>
      <c r="G231" s="99" t="s">
        <v>489</v>
      </c>
      <c r="H231" s="101">
        <v>154</v>
      </c>
      <c r="I231" s="43">
        <v>186304</v>
      </c>
      <c r="J231" s="43">
        <v>78605</v>
      </c>
      <c r="K231" s="43">
        <v>3930</v>
      </c>
      <c r="L231" s="43">
        <v>5000</v>
      </c>
      <c r="M231" s="43">
        <v>87535</v>
      </c>
      <c r="N231" t="s">
        <v>193</v>
      </c>
      <c r="O231" t="s">
        <v>27</v>
      </c>
    </row>
    <row r="232" spans="1:15" ht="15.75" customHeight="1">
      <c r="A232" s="27" t="s">
        <v>160</v>
      </c>
      <c r="B232" s="27" t="s">
        <v>34</v>
      </c>
      <c r="C232" s="95" t="s">
        <v>491</v>
      </c>
      <c r="D232" s="28">
        <v>45617</v>
      </c>
      <c r="E232" s="29" t="str">
        <f t="shared" si="0"/>
        <v>November</v>
      </c>
      <c r="F232" s="18">
        <f t="shared" si="1"/>
        <v>2024</v>
      </c>
      <c r="G232" s="99" t="s">
        <v>492</v>
      </c>
      <c r="H232" s="101">
        <v>237</v>
      </c>
      <c r="I232" s="43">
        <v>833779</v>
      </c>
      <c r="J232" s="43">
        <v>541385</v>
      </c>
      <c r="K232" s="43">
        <v>27069</v>
      </c>
      <c r="L232" s="43">
        <v>15000</v>
      </c>
      <c r="M232" s="43">
        <v>583455</v>
      </c>
      <c r="N232" t="s">
        <v>193</v>
      </c>
      <c r="O232" t="s">
        <v>27</v>
      </c>
    </row>
    <row r="233" spans="1:15" ht="15.75" customHeight="1">
      <c r="A233" s="27" t="s">
        <v>160</v>
      </c>
      <c r="B233" s="27" t="s">
        <v>34</v>
      </c>
      <c r="C233" s="95" t="s">
        <v>493</v>
      </c>
      <c r="D233" s="28">
        <v>45617</v>
      </c>
      <c r="E233" s="29" t="str">
        <f t="shared" si="0"/>
        <v>November</v>
      </c>
      <c r="F233" s="18">
        <f t="shared" si="1"/>
        <v>2024</v>
      </c>
      <c r="G233" s="99" t="s">
        <v>492</v>
      </c>
      <c r="H233" s="101">
        <v>237</v>
      </c>
      <c r="I233" s="43">
        <v>833779</v>
      </c>
      <c r="J233" s="43">
        <v>541385</v>
      </c>
      <c r="K233" s="43">
        <v>27069</v>
      </c>
      <c r="L233" s="43">
        <v>5000</v>
      </c>
      <c r="M233" s="43">
        <v>573455</v>
      </c>
      <c r="N233" t="s">
        <v>193</v>
      </c>
      <c r="O233" t="s">
        <v>27</v>
      </c>
    </row>
    <row r="234" spans="1:15" ht="15.75" customHeight="1">
      <c r="A234" s="27" t="s">
        <v>160</v>
      </c>
      <c r="B234" s="27" t="s">
        <v>34</v>
      </c>
      <c r="C234" s="27" t="s">
        <v>494</v>
      </c>
      <c r="D234" s="28">
        <v>45617</v>
      </c>
      <c r="E234" s="29" t="str">
        <f t="shared" si="0"/>
        <v>November</v>
      </c>
      <c r="F234" s="18">
        <f t="shared" si="1"/>
        <v>2024</v>
      </c>
      <c r="G234" s="29" t="s">
        <v>492</v>
      </c>
      <c r="H234" s="30">
        <v>237</v>
      </c>
      <c r="I234" s="32">
        <v>833779</v>
      </c>
      <c r="J234" s="32">
        <v>541385</v>
      </c>
      <c r="K234" s="32">
        <v>27069</v>
      </c>
      <c r="L234" s="32">
        <v>5000</v>
      </c>
      <c r="M234" s="32">
        <v>573455</v>
      </c>
      <c r="N234" t="s">
        <v>193</v>
      </c>
      <c r="O234" t="s">
        <v>27</v>
      </c>
    </row>
    <row r="235" spans="1:15" ht="15.75" customHeight="1">
      <c r="A235" s="27" t="s">
        <v>271</v>
      </c>
      <c r="B235" s="27" t="s">
        <v>34</v>
      </c>
      <c r="C235" s="27" t="s">
        <v>495</v>
      </c>
      <c r="D235" s="28">
        <v>45616</v>
      </c>
      <c r="E235" s="29" t="str">
        <f t="shared" si="0"/>
        <v>November</v>
      </c>
      <c r="F235" s="18">
        <f t="shared" si="1"/>
        <v>2024</v>
      </c>
      <c r="G235" s="29" t="s">
        <v>496</v>
      </c>
      <c r="H235" s="30">
        <v>345</v>
      </c>
      <c r="I235" s="32">
        <v>475419</v>
      </c>
      <c r="J235" s="32">
        <v>449369</v>
      </c>
      <c r="K235" s="32">
        <v>22468</v>
      </c>
      <c r="L235" s="32">
        <v>10000</v>
      </c>
      <c r="M235" s="32">
        <v>481837</v>
      </c>
      <c r="N235" t="s">
        <v>193</v>
      </c>
      <c r="O235" t="s">
        <v>27</v>
      </c>
    </row>
    <row r="236" spans="1:15" ht="15.75" customHeight="1">
      <c r="A236" s="27" t="s">
        <v>32</v>
      </c>
      <c r="B236" s="27" t="s">
        <v>28</v>
      </c>
      <c r="C236" s="95" t="s">
        <v>497</v>
      </c>
      <c r="D236" s="28">
        <v>45616</v>
      </c>
      <c r="E236" s="29" t="str">
        <f t="shared" si="0"/>
        <v>November</v>
      </c>
      <c r="F236" s="18">
        <f t="shared" si="1"/>
        <v>2024</v>
      </c>
      <c r="G236" s="99" t="s">
        <v>498</v>
      </c>
      <c r="H236" s="101">
        <v>86</v>
      </c>
      <c r="I236" s="43">
        <v>1433647</v>
      </c>
      <c r="J236" s="43">
        <v>337791</v>
      </c>
      <c r="K236" s="43">
        <v>16890</v>
      </c>
      <c r="L236" s="43">
        <v>25000</v>
      </c>
      <c r="M236" s="43">
        <v>379680</v>
      </c>
      <c r="N236" t="s">
        <v>193</v>
      </c>
      <c r="O236" t="s">
        <v>27</v>
      </c>
    </row>
    <row r="237" spans="1:15" ht="15.75" customHeight="1">
      <c r="A237" s="27" t="s">
        <v>32</v>
      </c>
      <c r="B237" s="27" t="s">
        <v>28</v>
      </c>
      <c r="C237" s="95" t="s">
        <v>499</v>
      </c>
      <c r="D237" s="28">
        <v>45616</v>
      </c>
      <c r="E237" s="29" t="str">
        <f t="shared" si="0"/>
        <v>November</v>
      </c>
      <c r="F237" s="18">
        <f t="shared" si="1"/>
        <v>2024</v>
      </c>
      <c r="G237" s="99" t="s">
        <v>498</v>
      </c>
      <c r="H237" s="101">
        <v>86</v>
      </c>
      <c r="I237" s="43">
        <v>481565</v>
      </c>
      <c r="J237" s="43">
        <v>113465</v>
      </c>
      <c r="K237" s="43">
        <v>5673</v>
      </c>
      <c r="L237" s="43">
        <v>5000</v>
      </c>
      <c r="M237" s="43">
        <v>124138</v>
      </c>
      <c r="N237" t="s">
        <v>193</v>
      </c>
      <c r="O237" t="s">
        <v>27</v>
      </c>
    </row>
    <row r="238" spans="1:15" ht="15.75" customHeight="1">
      <c r="A238" s="27" t="s">
        <v>500</v>
      </c>
      <c r="B238" s="27" t="s">
        <v>34</v>
      </c>
      <c r="C238" s="95" t="s">
        <v>501</v>
      </c>
      <c r="D238" s="28">
        <v>45616</v>
      </c>
      <c r="E238" s="29" t="str">
        <f t="shared" si="0"/>
        <v>November</v>
      </c>
      <c r="F238" s="18">
        <f t="shared" si="1"/>
        <v>2024</v>
      </c>
      <c r="G238" s="99">
        <v>46002</v>
      </c>
      <c r="H238" s="101">
        <v>358</v>
      </c>
      <c r="I238" s="43">
        <v>1189985</v>
      </c>
      <c r="J238" s="43">
        <v>1167163</v>
      </c>
      <c r="K238" s="43">
        <v>58358</v>
      </c>
      <c r="L238" s="43">
        <v>40000</v>
      </c>
      <c r="M238" s="43">
        <v>1265522</v>
      </c>
      <c r="N238" t="s">
        <v>193</v>
      </c>
      <c r="O238" t="s">
        <v>27</v>
      </c>
    </row>
    <row r="239" spans="1:15" ht="15.75" customHeight="1">
      <c r="A239" s="27" t="s">
        <v>500</v>
      </c>
      <c r="B239" s="27" t="s">
        <v>34</v>
      </c>
      <c r="C239" s="27" t="s">
        <v>502</v>
      </c>
      <c r="D239" s="28">
        <v>45616</v>
      </c>
      <c r="E239" s="29" t="str">
        <f t="shared" si="0"/>
        <v>November</v>
      </c>
      <c r="F239" s="18">
        <f t="shared" si="1"/>
        <v>2024</v>
      </c>
      <c r="G239" s="29">
        <v>46002</v>
      </c>
      <c r="H239" s="30">
        <v>358</v>
      </c>
      <c r="I239" s="32" t="s">
        <v>151</v>
      </c>
      <c r="J239" s="32" t="s">
        <v>151</v>
      </c>
      <c r="K239" s="32" t="s">
        <v>151</v>
      </c>
      <c r="L239" s="32">
        <v>5000</v>
      </c>
      <c r="M239" s="32">
        <v>5000</v>
      </c>
      <c r="N239" t="s">
        <v>193</v>
      </c>
      <c r="O239" t="s">
        <v>27</v>
      </c>
    </row>
    <row r="240" spans="1:15" ht="15.75" customHeight="1">
      <c r="A240" s="27" t="s">
        <v>375</v>
      </c>
      <c r="B240" s="27" t="s">
        <v>34</v>
      </c>
      <c r="C240" s="27" t="s">
        <v>503</v>
      </c>
      <c r="D240" s="28">
        <v>45614</v>
      </c>
      <c r="E240" s="29" t="str">
        <f t="shared" si="0"/>
        <v>November</v>
      </c>
      <c r="F240" s="18">
        <f t="shared" si="1"/>
        <v>2024</v>
      </c>
      <c r="G240" s="29">
        <v>45937</v>
      </c>
      <c r="H240" s="30">
        <v>235</v>
      </c>
      <c r="I240" s="32">
        <v>411833</v>
      </c>
      <c r="J240" s="32">
        <v>265153</v>
      </c>
      <c r="K240" s="32">
        <v>13258</v>
      </c>
      <c r="L240" s="32">
        <v>5000</v>
      </c>
      <c r="M240" s="32">
        <v>283410</v>
      </c>
      <c r="N240" t="s">
        <v>193</v>
      </c>
      <c r="O240" t="s">
        <v>27</v>
      </c>
    </row>
    <row r="241" spans="1:15" ht="15.75" customHeight="1">
      <c r="A241" s="27" t="s">
        <v>504</v>
      </c>
      <c r="B241" s="27" t="s">
        <v>34</v>
      </c>
      <c r="C241" s="95" t="s">
        <v>505</v>
      </c>
      <c r="D241" s="97">
        <v>45637</v>
      </c>
      <c r="E241" s="29" t="str">
        <f t="shared" si="0"/>
        <v>December</v>
      </c>
      <c r="F241" s="18">
        <f t="shared" si="1"/>
        <v>2024</v>
      </c>
      <c r="G241" s="99" t="s">
        <v>506</v>
      </c>
      <c r="H241" s="101">
        <v>354</v>
      </c>
      <c r="I241" s="43">
        <v>172205</v>
      </c>
      <c r="J241" s="43">
        <v>167015</v>
      </c>
      <c r="K241" s="43">
        <v>8351</v>
      </c>
      <c r="L241" s="43" t="s">
        <v>151</v>
      </c>
      <c r="M241" s="43">
        <v>175366</v>
      </c>
      <c r="N241" t="s">
        <v>193</v>
      </c>
      <c r="O241" t="s">
        <v>27</v>
      </c>
    </row>
    <row r="242" spans="1:15" ht="15.75" customHeight="1">
      <c r="A242" s="27" t="s">
        <v>504</v>
      </c>
      <c r="B242" s="27" t="s">
        <v>34</v>
      </c>
      <c r="C242" s="95" t="s">
        <v>507</v>
      </c>
      <c r="D242" s="97">
        <v>45637</v>
      </c>
      <c r="E242" s="29" t="str">
        <f t="shared" si="0"/>
        <v>December</v>
      </c>
      <c r="F242" s="18">
        <f t="shared" si="1"/>
        <v>2024</v>
      </c>
      <c r="G242" s="99" t="s">
        <v>506</v>
      </c>
      <c r="H242" s="101">
        <v>354</v>
      </c>
      <c r="I242" s="43">
        <v>172205</v>
      </c>
      <c r="J242" s="43">
        <v>167015</v>
      </c>
      <c r="K242" s="43">
        <v>8351</v>
      </c>
      <c r="L242" s="43" t="s">
        <v>151</v>
      </c>
      <c r="M242" s="43">
        <v>175366</v>
      </c>
      <c r="N242" t="s">
        <v>193</v>
      </c>
      <c r="O242" t="s">
        <v>27</v>
      </c>
    </row>
    <row r="243" spans="1:15" ht="15.75" customHeight="1">
      <c r="A243" s="27" t="s">
        <v>504</v>
      </c>
      <c r="B243" s="27" t="s">
        <v>34</v>
      </c>
      <c r="C243" s="95" t="s">
        <v>508</v>
      </c>
      <c r="D243" s="97">
        <v>45637</v>
      </c>
      <c r="E243" s="29" t="str">
        <f t="shared" si="0"/>
        <v>December</v>
      </c>
      <c r="F243" s="18">
        <f t="shared" si="1"/>
        <v>2024</v>
      </c>
      <c r="G243" s="99" t="s">
        <v>506</v>
      </c>
      <c r="H243" s="101">
        <v>354</v>
      </c>
      <c r="I243" s="43">
        <v>172205</v>
      </c>
      <c r="J243" s="43">
        <v>167015</v>
      </c>
      <c r="K243" s="43">
        <v>8351</v>
      </c>
      <c r="L243" s="43" t="s">
        <v>151</v>
      </c>
      <c r="M243" s="43">
        <v>175366</v>
      </c>
      <c r="N243" t="s">
        <v>193</v>
      </c>
      <c r="O243" t="s">
        <v>27</v>
      </c>
    </row>
    <row r="244" spans="1:15" ht="15.75" customHeight="1">
      <c r="A244" s="27" t="s">
        <v>504</v>
      </c>
      <c r="B244" s="27" t="s">
        <v>34</v>
      </c>
      <c r="C244" s="27" t="s">
        <v>509</v>
      </c>
      <c r="D244" s="28">
        <v>45637</v>
      </c>
      <c r="E244" s="29" t="str">
        <f t="shared" si="0"/>
        <v>December</v>
      </c>
      <c r="F244" s="18">
        <f t="shared" si="1"/>
        <v>2024</v>
      </c>
      <c r="G244" s="29" t="s">
        <v>506</v>
      </c>
      <c r="H244" s="30">
        <v>354</v>
      </c>
      <c r="I244" s="32">
        <v>172205</v>
      </c>
      <c r="J244" s="32">
        <v>167015</v>
      </c>
      <c r="K244" s="32">
        <v>8351</v>
      </c>
      <c r="L244" s="32" t="s">
        <v>151</v>
      </c>
      <c r="M244" s="32">
        <v>175366</v>
      </c>
      <c r="N244" t="s">
        <v>193</v>
      </c>
      <c r="O244" t="s">
        <v>27</v>
      </c>
    </row>
    <row r="245" spans="1:15" ht="15.75" customHeight="1">
      <c r="A245" s="27" t="s">
        <v>160</v>
      </c>
      <c r="B245" s="27" t="s">
        <v>34</v>
      </c>
      <c r="C245" s="27" t="s">
        <v>510</v>
      </c>
      <c r="D245" s="28">
        <v>45637</v>
      </c>
      <c r="E245" s="29" t="str">
        <f t="shared" si="0"/>
        <v>December</v>
      </c>
      <c r="F245" s="18">
        <f t="shared" si="1"/>
        <v>2024</v>
      </c>
      <c r="G245" s="29" t="s">
        <v>492</v>
      </c>
      <c r="H245" s="30">
        <v>246</v>
      </c>
      <c r="I245" s="32" t="s">
        <v>151</v>
      </c>
      <c r="J245" s="32" t="s">
        <v>151</v>
      </c>
      <c r="K245" s="32" t="s">
        <v>151</v>
      </c>
      <c r="L245" s="32">
        <v>5000</v>
      </c>
      <c r="M245" s="32">
        <v>5000</v>
      </c>
      <c r="N245" t="s">
        <v>193</v>
      </c>
      <c r="O245" t="s">
        <v>27</v>
      </c>
    </row>
    <row r="246" spans="1:15" ht="15.75" customHeight="1">
      <c r="A246" s="27" t="s">
        <v>160</v>
      </c>
      <c r="B246" s="27" t="s">
        <v>34</v>
      </c>
      <c r="C246" s="95" t="s">
        <v>511</v>
      </c>
      <c r="D246" s="97">
        <v>45637</v>
      </c>
      <c r="E246" s="29" t="str">
        <f t="shared" si="0"/>
        <v>December</v>
      </c>
      <c r="F246" s="18">
        <f t="shared" si="1"/>
        <v>2024</v>
      </c>
      <c r="G246" s="99" t="s">
        <v>492</v>
      </c>
      <c r="H246" s="101">
        <v>246</v>
      </c>
      <c r="I246" s="43" t="s">
        <v>151</v>
      </c>
      <c r="J246" s="43" t="s">
        <v>151</v>
      </c>
      <c r="K246" s="43" t="s">
        <v>151</v>
      </c>
      <c r="L246" s="43">
        <v>5000</v>
      </c>
      <c r="M246" s="43">
        <v>5000</v>
      </c>
      <c r="N246" t="s">
        <v>193</v>
      </c>
      <c r="O246" t="s">
        <v>27</v>
      </c>
    </row>
    <row r="247" spans="1:15" ht="15.75" customHeight="1">
      <c r="A247" s="27" t="s">
        <v>160</v>
      </c>
      <c r="B247" s="27" t="s">
        <v>34</v>
      </c>
      <c r="C247" s="95" t="s">
        <v>512</v>
      </c>
      <c r="D247" s="97">
        <v>45637</v>
      </c>
      <c r="E247" s="29" t="str">
        <f t="shared" si="0"/>
        <v>December</v>
      </c>
      <c r="F247" s="18">
        <f t="shared" si="1"/>
        <v>2024</v>
      </c>
      <c r="G247" s="99" t="s">
        <v>492</v>
      </c>
      <c r="H247" s="101">
        <v>246</v>
      </c>
      <c r="I247" s="43" t="s">
        <v>151</v>
      </c>
      <c r="J247" s="43" t="s">
        <v>151</v>
      </c>
      <c r="K247" s="43" t="s">
        <v>151</v>
      </c>
      <c r="L247" s="43">
        <v>5000</v>
      </c>
      <c r="M247" s="43">
        <v>5000</v>
      </c>
      <c r="N247" t="s">
        <v>193</v>
      </c>
      <c r="O247" t="s">
        <v>27</v>
      </c>
    </row>
    <row r="248" spans="1:15" ht="15.75" customHeight="1">
      <c r="A248" s="27" t="s">
        <v>271</v>
      </c>
      <c r="B248" s="27" t="s">
        <v>34</v>
      </c>
      <c r="C248" s="95" t="s">
        <v>513</v>
      </c>
      <c r="D248" s="97">
        <v>45607</v>
      </c>
      <c r="E248" s="29" t="str">
        <f t="shared" si="0"/>
        <v>November</v>
      </c>
      <c r="F248" s="18">
        <f t="shared" si="1"/>
        <v>2024</v>
      </c>
      <c r="G248" s="99" t="s">
        <v>496</v>
      </c>
      <c r="H248" s="101">
        <v>354</v>
      </c>
      <c r="I248" s="43">
        <v>240044</v>
      </c>
      <c r="J248" s="43">
        <v>232810</v>
      </c>
      <c r="K248" s="43">
        <v>11640</v>
      </c>
      <c r="L248" s="43">
        <v>10000</v>
      </c>
      <c r="M248" s="43">
        <v>254450</v>
      </c>
      <c r="N248" t="s">
        <v>193</v>
      </c>
      <c r="O248" t="s">
        <v>27</v>
      </c>
    </row>
    <row r="249" spans="1:15" ht="15.75" customHeight="1">
      <c r="A249" s="27" t="s">
        <v>135</v>
      </c>
      <c r="B249" s="27" t="s">
        <v>34</v>
      </c>
      <c r="C249" s="27" t="s">
        <v>514</v>
      </c>
      <c r="D249" s="28">
        <v>45546</v>
      </c>
      <c r="E249" s="29" t="str">
        <f t="shared" si="0"/>
        <v>September</v>
      </c>
      <c r="F249" s="18">
        <f t="shared" si="1"/>
        <v>2024</v>
      </c>
      <c r="G249" s="29" t="s">
        <v>515</v>
      </c>
      <c r="H249" s="30">
        <v>263</v>
      </c>
      <c r="I249" s="32">
        <v>1220886</v>
      </c>
      <c r="J249" s="32">
        <v>879707</v>
      </c>
      <c r="K249" s="32">
        <v>43985</v>
      </c>
      <c r="L249" s="32">
        <v>3000</v>
      </c>
      <c r="M249" s="32">
        <v>926692</v>
      </c>
      <c r="N249" t="s">
        <v>193</v>
      </c>
      <c r="O249" t="s">
        <v>27</v>
      </c>
    </row>
    <row r="250" spans="1:15" ht="15.75" customHeight="1">
      <c r="A250" s="27" t="s">
        <v>377</v>
      </c>
      <c r="B250" s="27" t="s">
        <v>28</v>
      </c>
      <c r="C250" s="27" t="s">
        <v>516</v>
      </c>
      <c r="D250" s="28">
        <v>45484</v>
      </c>
      <c r="E250" s="29" t="str">
        <f t="shared" si="0"/>
        <v>July</v>
      </c>
      <c r="F250" s="18">
        <f t="shared" si="1"/>
        <v>2024</v>
      </c>
      <c r="G250" s="29" t="s">
        <v>517</v>
      </c>
      <c r="H250" s="30">
        <v>194</v>
      </c>
      <c r="I250" s="32">
        <v>190003</v>
      </c>
      <c r="J250" s="32">
        <v>100988</v>
      </c>
      <c r="K250" s="32">
        <v>5049</v>
      </c>
      <c r="L250" s="32">
        <v>5000</v>
      </c>
      <c r="M250" s="32">
        <v>111037</v>
      </c>
      <c r="N250" t="s">
        <v>193</v>
      </c>
      <c r="O250" t="s">
        <v>27</v>
      </c>
    </row>
    <row r="251" spans="1:15" ht="15.75" customHeight="1">
      <c r="A251" s="27" t="s">
        <v>116</v>
      </c>
      <c r="B251" s="27" t="s">
        <v>34</v>
      </c>
      <c r="C251" s="95" t="s">
        <v>518</v>
      </c>
      <c r="D251" s="97">
        <v>45484</v>
      </c>
      <c r="E251" s="29" t="str">
        <f t="shared" si="0"/>
        <v>July</v>
      </c>
      <c r="F251" s="18">
        <f t="shared" si="1"/>
        <v>2024</v>
      </c>
      <c r="G251" s="99" t="s">
        <v>489</v>
      </c>
      <c r="H251" s="101">
        <v>172</v>
      </c>
      <c r="I251" s="43">
        <v>883498</v>
      </c>
      <c r="J251" s="43">
        <v>416333</v>
      </c>
      <c r="K251" s="43">
        <v>20817</v>
      </c>
      <c r="L251" s="43">
        <v>10000</v>
      </c>
      <c r="M251" s="43">
        <v>447150</v>
      </c>
      <c r="N251" t="s">
        <v>193</v>
      </c>
      <c r="O251" t="s">
        <v>27</v>
      </c>
    </row>
    <row r="252" spans="1:15" ht="15.75" customHeight="1">
      <c r="A252" s="27" t="s">
        <v>116</v>
      </c>
      <c r="B252" s="27" t="s">
        <v>34</v>
      </c>
      <c r="C252" s="95" t="s">
        <v>519</v>
      </c>
      <c r="D252" s="97">
        <v>45484</v>
      </c>
      <c r="E252" s="29" t="str">
        <f t="shared" si="0"/>
        <v>July</v>
      </c>
      <c r="F252" s="18">
        <f t="shared" si="1"/>
        <v>2024</v>
      </c>
      <c r="G252" s="99" t="s">
        <v>489</v>
      </c>
      <c r="H252" s="101">
        <v>172</v>
      </c>
      <c r="I252" s="43">
        <v>490359</v>
      </c>
      <c r="J252" s="43">
        <v>231073</v>
      </c>
      <c r="K252" s="43">
        <v>11554</v>
      </c>
      <c r="L252" s="43">
        <v>5000</v>
      </c>
      <c r="M252" s="43">
        <v>247627</v>
      </c>
      <c r="N252" t="s">
        <v>193</v>
      </c>
      <c r="O252" t="s">
        <v>27</v>
      </c>
    </row>
    <row r="253" spans="1:15" ht="15.75" customHeight="1">
      <c r="A253" s="27" t="s">
        <v>377</v>
      </c>
      <c r="B253" s="27" t="s">
        <v>40</v>
      </c>
      <c r="C253" s="95" t="s">
        <v>520</v>
      </c>
      <c r="D253" s="97">
        <v>45393</v>
      </c>
      <c r="E253" s="29" t="str">
        <f t="shared" si="0"/>
        <v>April</v>
      </c>
      <c r="F253" s="18">
        <f t="shared" si="1"/>
        <v>2024</v>
      </c>
      <c r="G253" s="99" t="s">
        <v>517</v>
      </c>
      <c r="H253" s="101">
        <v>197</v>
      </c>
      <c r="I253" s="43">
        <v>802665</v>
      </c>
      <c r="J253" s="43">
        <v>433219</v>
      </c>
      <c r="K253" s="43">
        <v>21661</v>
      </c>
      <c r="L253" s="43">
        <v>15000</v>
      </c>
      <c r="M253" s="43">
        <v>469880</v>
      </c>
      <c r="N253" t="s">
        <v>193</v>
      </c>
      <c r="O253" t="s">
        <v>27</v>
      </c>
    </row>
    <row r="254" spans="1:15" ht="15.75" customHeight="1">
      <c r="A254" s="27" t="s">
        <v>521</v>
      </c>
      <c r="B254" s="27" t="s">
        <v>40</v>
      </c>
      <c r="C254" s="27" t="s">
        <v>522</v>
      </c>
      <c r="D254" s="28">
        <v>45393</v>
      </c>
      <c r="E254" s="29" t="str">
        <f t="shared" si="0"/>
        <v>April</v>
      </c>
      <c r="F254" s="18">
        <f t="shared" si="1"/>
        <v>2024</v>
      </c>
      <c r="G254" s="29" t="s">
        <v>523</v>
      </c>
      <c r="H254" s="30">
        <v>260</v>
      </c>
      <c r="I254" s="32">
        <v>395453</v>
      </c>
      <c r="J254" s="32">
        <v>281693</v>
      </c>
      <c r="K254" s="32">
        <v>14085</v>
      </c>
      <c r="L254" s="32">
        <v>10000</v>
      </c>
      <c r="M254" s="32">
        <v>305777</v>
      </c>
      <c r="N254" t="s">
        <v>193</v>
      </c>
      <c r="O254" t="s">
        <v>27</v>
      </c>
    </row>
    <row r="255" spans="1:15" ht="15.75" customHeight="1">
      <c r="A255" s="27" t="s">
        <v>390</v>
      </c>
      <c r="B255" s="27" t="s">
        <v>28</v>
      </c>
      <c r="C255" s="27" t="s">
        <v>524</v>
      </c>
      <c r="D255" s="28">
        <v>45393</v>
      </c>
      <c r="E255" s="29" t="str">
        <f t="shared" si="0"/>
        <v>April</v>
      </c>
      <c r="F255" s="18">
        <f t="shared" si="1"/>
        <v>2024</v>
      </c>
      <c r="G255" s="29">
        <v>45779</v>
      </c>
      <c r="H255" s="30">
        <v>94</v>
      </c>
      <c r="I255" s="32">
        <v>1265350</v>
      </c>
      <c r="J255" s="32">
        <v>325871</v>
      </c>
      <c r="K255" s="32">
        <v>16294</v>
      </c>
      <c r="L255" s="32">
        <v>10000</v>
      </c>
      <c r="M255" s="32">
        <v>352165</v>
      </c>
      <c r="N255" t="s">
        <v>193</v>
      </c>
      <c r="O255" t="s">
        <v>27</v>
      </c>
    </row>
    <row r="256" spans="1:15" ht="15.75" customHeight="1">
      <c r="A256" s="27" t="s">
        <v>373</v>
      </c>
      <c r="B256" s="27" t="s">
        <v>34</v>
      </c>
      <c r="C256" s="95" t="s">
        <v>525</v>
      </c>
      <c r="D256" s="97">
        <v>45393</v>
      </c>
      <c r="E256" s="29" t="str">
        <f t="shared" si="0"/>
        <v>April</v>
      </c>
      <c r="F256" s="18">
        <f t="shared" si="1"/>
        <v>2024</v>
      </c>
      <c r="G256" s="99">
        <v>45901</v>
      </c>
      <c r="H256" s="101">
        <v>67</v>
      </c>
      <c r="I256" s="43">
        <v>479599</v>
      </c>
      <c r="J256" s="43">
        <v>88036</v>
      </c>
      <c r="K256" s="43">
        <v>4402</v>
      </c>
      <c r="L256" s="43">
        <v>10000</v>
      </c>
      <c r="M256" s="43">
        <v>102438</v>
      </c>
      <c r="N256" t="s">
        <v>193</v>
      </c>
      <c r="O256" t="s">
        <v>27</v>
      </c>
    </row>
    <row r="257" spans="1:15" ht="15.75" customHeight="1">
      <c r="A257" s="27" t="s">
        <v>373</v>
      </c>
      <c r="B257" s="27" t="s">
        <v>34</v>
      </c>
      <c r="C257" s="95" t="s">
        <v>526</v>
      </c>
      <c r="D257" s="97">
        <v>45393</v>
      </c>
      <c r="E257" s="29" t="str">
        <f t="shared" si="0"/>
        <v>April</v>
      </c>
      <c r="F257" s="18">
        <f t="shared" si="1"/>
        <v>2024</v>
      </c>
      <c r="G257" s="99">
        <v>45901</v>
      </c>
      <c r="H257" s="101">
        <v>67</v>
      </c>
      <c r="I257" s="43">
        <v>479599</v>
      </c>
      <c r="J257" s="43">
        <v>88036</v>
      </c>
      <c r="K257" s="43">
        <v>4402</v>
      </c>
      <c r="L257" s="43">
        <v>10000</v>
      </c>
      <c r="M257" s="43">
        <v>102438</v>
      </c>
      <c r="N257" t="s">
        <v>193</v>
      </c>
      <c r="O257" t="s">
        <v>27</v>
      </c>
    </row>
    <row r="258" spans="1:15" ht="15.75" customHeight="1">
      <c r="A258" s="27" t="s">
        <v>93</v>
      </c>
      <c r="B258" s="27" t="s">
        <v>28</v>
      </c>
      <c r="C258" s="95" t="s">
        <v>527</v>
      </c>
      <c r="D258" s="97">
        <v>45302</v>
      </c>
      <c r="E258" s="29" t="str">
        <f t="shared" si="0"/>
        <v>January</v>
      </c>
      <c r="F258" s="18">
        <f t="shared" si="1"/>
        <v>2024</v>
      </c>
      <c r="G258" s="99" t="s">
        <v>528</v>
      </c>
      <c r="H258" s="101">
        <v>113</v>
      </c>
      <c r="I258" s="43">
        <v>297868</v>
      </c>
      <c r="J258" s="43">
        <v>92217</v>
      </c>
      <c r="K258" s="43">
        <v>4611</v>
      </c>
      <c r="L258" s="43">
        <v>10000</v>
      </c>
      <c r="M258" s="43">
        <v>106828</v>
      </c>
      <c r="N258" t="s">
        <v>193</v>
      </c>
      <c r="O258" t="s">
        <v>27</v>
      </c>
    </row>
    <row r="259" spans="1:15" ht="15.75" customHeight="1">
      <c r="A259" s="27" t="s">
        <v>93</v>
      </c>
      <c r="B259" s="27" t="s">
        <v>28</v>
      </c>
      <c r="C259" s="27" t="s">
        <v>529</v>
      </c>
      <c r="D259" s="28">
        <v>45302</v>
      </c>
      <c r="E259" s="29" t="str">
        <f t="shared" si="0"/>
        <v>January</v>
      </c>
      <c r="F259" s="18">
        <f t="shared" si="1"/>
        <v>2024</v>
      </c>
      <c r="G259" s="29" t="s">
        <v>528</v>
      </c>
      <c r="H259" s="30">
        <v>113</v>
      </c>
      <c r="I259" s="32">
        <v>430880</v>
      </c>
      <c r="J259" s="32">
        <v>133396</v>
      </c>
      <c r="K259" s="32">
        <v>6670</v>
      </c>
      <c r="L259" s="32">
        <v>20000</v>
      </c>
      <c r="M259" s="32">
        <v>160066</v>
      </c>
      <c r="N259" t="s">
        <v>193</v>
      </c>
      <c r="O259" t="s">
        <v>27</v>
      </c>
    </row>
    <row r="260" spans="1:15" ht="15.75" customHeight="1">
      <c r="A260" s="27" t="s">
        <v>530</v>
      </c>
      <c r="B260" s="27" t="s">
        <v>28</v>
      </c>
      <c r="C260" s="27" t="s">
        <v>531</v>
      </c>
      <c r="D260" s="28">
        <v>45302</v>
      </c>
      <c r="E260" s="29" t="str">
        <f t="shared" si="0"/>
        <v>January</v>
      </c>
      <c r="F260" s="18">
        <f t="shared" si="1"/>
        <v>2024</v>
      </c>
      <c r="G260" s="29" t="s">
        <v>74</v>
      </c>
      <c r="H260" s="30">
        <v>61</v>
      </c>
      <c r="I260" s="32">
        <v>444637</v>
      </c>
      <c r="J260" s="32">
        <v>74309</v>
      </c>
      <c r="K260" s="32">
        <v>3715</v>
      </c>
      <c r="L260" s="32">
        <v>10000</v>
      </c>
      <c r="M260" s="32">
        <v>88025</v>
      </c>
      <c r="N260" t="s">
        <v>193</v>
      </c>
      <c r="O260" t="s">
        <v>27</v>
      </c>
    </row>
    <row r="261" spans="1:15" ht="15.75" customHeight="1">
      <c r="A261" s="27" t="s">
        <v>297</v>
      </c>
      <c r="B261" s="27" t="s">
        <v>28</v>
      </c>
      <c r="C261" s="95" t="s">
        <v>532</v>
      </c>
      <c r="D261" s="97">
        <v>45595</v>
      </c>
      <c r="E261" s="29" t="str">
        <f t="shared" si="0"/>
        <v>October</v>
      </c>
      <c r="F261" s="18">
        <f t="shared" si="1"/>
        <v>2024</v>
      </c>
      <c r="G261" s="99">
        <v>45995</v>
      </c>
      <c r="H261" s="101">
        <v>165</v>
      </c>
      <c r="I261" s="43">
        <v>372325</v>
      </c>
      <c r="J261" s="43">
        <v>168311</v>
      </c>
      <c r="K261" s="43">
        <v>8416</v>
      </c>
      <c r="L261" s="43">
        <v>10000</v>
      </c>
      <c r="M261" s="43">
        <v>186727</v>
      </c>
      <c r="N261" t="s">
        <v>193</v>
      </c>
      <c r="O261" t="s">
        <v>27</v>
      </c>
    </row>
    <row r="262" spans="1:15" ht="15.75" customHeight="1">
      <c r="A262" s="27" t="s">
        <v>116</v>
      </c>
      <c r="B262" s="27" t="s">
        <v>34</v>
      </c>
      <c r="C262" s="95" t="s">
        <v>533</v>
      </c>
      <c r="D262" s="97">
        <v>45593</v>
      </c>
      <c r="E262" s="29" t="str">
        <f t="shared" si="0"/>
        <v>October</v>
      </c>
      <c r="F262" s="18">
        <f t="shared" si="1"/>
        <v>2024</v>
      </c>
      <c r="G262" s="99" t="s">
        <v>489</v>
      </c>
      <c r="H262" s="101">
        <v>182</v>
      </c>
      <c r="I262" s="43">
        <v>490359</v>
      </c>
      <c r="J262" s="43">
        <v>244508</v>
      </c>
      <c r="K262" s="43">
        <v>12225</v>
      </c>
      <c r="L262" s="43">
        <v>5000</v>
      </c>
      <c r="M262" s="43">
        <v>261733</v>
      </c>
      <c r="N262" t="s">
        <v>193</v>
      </c>
      <c r="O262" t="s">
        <v>27</v>
      </c>
    </row>
    <row r="263" spans="1:15" ht="15.75" customHeight="1">
      <c r="A263" s="27" t="s">
        <v>116</v>
      </c>
      <c r="B263" s="27" t="s">
        <v>34</v>
      </c>
      <c r="C263" s="95" t="s">
        <v>534</v>
      </c>
      <c r="D263" s="97">
        <v>45593</v>
      </c>
      <c r="E263" s="29" t="str">
        <f t="shared" si="0"/>
        <v>October</v>
      </c>
      <c r="F263" s="18">
        <f t="shared" si="1"/>
        <v>2024</v>
      </c>
      <c r="G263" s="99" t="s">
        <v>489</v>
      </c>
      <c r="H263" s="101">
        <v>182</v>
      </c>
      <c r="I263" s="43">
        <v>1207021</v>
      </c>
      <c r="J263" s="43">
        <v>601857</v>
      </c>
      <c r="K263" s="43">
        <v>30093</v>
      </c>
      <c r="L263" s="43">
        <v>20000</v>
      </c>
      <c r="M263" s="43">
        <v>651950</v>
      </c>
      <c r="N263" t="s">
        <v>193</v>
      </c>
      <c r="O263" t="s">
        <v>27</v>
      </c>
    </row>
    <row r="264" spans="1:15" ht="15.75" customHeight="1">
      <c r="A264" s="27" t="s">
        <v>35</v>
      </c>
      <c r="B264" s="27" t="s">
        <v>28</v>
      </c>
      <c r="C264" s="27" t="s">
        <v>535</v>
      </c>
      <c r="D264" s="97">
        <v>45587</v>
      </c>
      <c r="E264" s="29" t="str">
        <f t="shared" si="0"/>
        <v>October</v>
      </c>
      <c r="F264" s="18">
        <f t="shared" si="1"/>
        <v>2024</v>
      </c>
      <c r="G264" s="29">
        <v>45841</v>
      </c>
      <c r="H264" s="30">
        <v>137</v>
      </c>
      <c r="I264" s="32">
        <v>405852</v>
      </c>
      <c r="J264" s="32">
        <v>152333</v>
      </c>
      <c r="K264" s="32">
        <v>7617</v>
      </c>
      <c r="L264" s="32" t="s">
        <v>151</v>
      </c>
      <c r="M264" s="32">
        <v>159950</v>
      </c>
      <c r="N264" t="s">
        <v>193</v>
      </c>
      <c r="O264" t="s">
        <v>27</v>
      </c>
    </row>
    <row r="265" spans="1:15" ht="15.75" customHeight="1">
      <c r="A265" s="27" t="s">
        <v>377</v>
      </c>
      <c r="B265" s="27" t="s">
        <v>40</v>
      </c>
      <c r="C265" s="27" t="s">
        <v>536</v>
      </c>
      <c r="D265" s="97">
        <v>45580</v>
      </c>
      <c r="E265" s="29" t="str">
        <f t="shared" si="0"/>
        <v>October</v>
      </c>
      <c r="F265" s="18">
        <f t="shared" si="1"/>
        <v>2024</v>
      </c>
      <c r="G265" s="29" t="s">
        <v>517</v>
      </c>
      <c r="H265" s="30">
        <v>217</v>
      </c>
      <c r="I265" s="32">
        <v>436294</v>
      </c>
      <c r="J265" s="32">
        <v>259386</v>
      </c>
      <c r="K265" s="32">
        <v>12969</v>
      </c>
      <c r="L265" s="32">
        <v>10000</v>
      </c>
      <c r="M265" s="32">
        <v>282355</v>
      </c>
      <c r="N265" t="s">
        <v>193</v>
      </c>
      <c r="O265" t="s">
        <v>27</v>
      </c>
    </row>
    <row r="266" spans="1:15" ht="15.75" customHeight="1">
      <c r="A266" s="27" t="s">
        <v>116</v>
      </c>
      <c r="B266" s="27" t="s">
        <v>34</v>
      </c>
      <c r="C266" s="95" t="s">
        <v>537</v>
      </c>
      <c r="D266" s="97">
        <v>45580</v>
      </c>
      <c r="E266" s="29" t="str">
        <f t="shared" si="0"/>
        <v>October</v>
      </c>
      <c r="F266" s="18">
        <f t="shared" si="1"/>
        <v>2024</v>
      </c>
      <c r="G266" s="99" t="s">
        <v>489</v>
      </c>
      <c r="H266" s="101">
        <v>195</v>
      </c>
      <c r="I266" s="43">
        <v>530358</v>
      </c>
      <c r="J266" s="43">
        <v>283342</v>
      </c>
      <c r="K266" s="43">
        <v>14167</v>
      </c>
      <c r="L266" s="43">
        <v>10000</v>
      </c>
      <c r="M266" s="43">
        <v>307509</v>
      </c>
      <c r="N266" t="s">
        <v>193</v>
      </c>
      <c r="O266" t="s">
        <v>27</v>
      </c>
    </row>
    <row r="267" spans="1:15" ht="15.75" customHeight="1">
      <c r="A267" s="27" t="s">
        <v>116</v>
      </c>
      <c r="B267" s="27" t="s">
        <v>34</v>
      </c>
      <c r="C267" s="95" t="s">
        <v>538</v>
      </c>
      <c r="D267" s="97">
        <v>45580</v>
      </c>
      <c r="E267" s="29" t="str">
        <f t="shared" si="0"/>
        <v>October</v>
      </c>
      <c r="F267" s="18">
        <f t="shared" si="1"/>
        <v>2024</v>
      </c>
      <c r="G267" s="99" t="s">
        <v>489</v>
      </c>
      <c r="H267" s="101">
        <v>195</v>
      </c>
      <c r="I267" s="43">
        <v>490359</v>
      </c>
      <c r="J267" s="43">
        <v>261973</v>
      </c>
      <c r="K267" s="43">
        <v>13099</v>
      </c>
      <c r="L267" s="43">
        <v>5000</v>
      </c>
      <c r="M267" s="43">
        <v>280071</v>
      </c>
      <c r="N267" t="s">
        <v>193</v>
      </c>
      <c r="O267" t="s">
        <v>27</v>
      </c>
    </row>
    <row r="268" spans="1:15" ht="15.75" customHeight="1">
      <c r="A268" s="27" t="s">
        <v>116</v>
      </c>
      <c r="B268" s="27" t="s">
        <v>34</v>
      </c>
      <c r="C268" s="95" t="s">
        <v>539</v>
      </c>
      <c r="D268" s="97">
        <v>45580</v>
      </c>
      <c r="E268" s="29" t="str">
        <f t="shared" si="0"/>
        <v>October</v>
      </c>
      <c r="F268" s="18">
        <f t="shared" si="1"/>
        <v>2024</v>
      </c>
      <c r="G268" s="99" t="s">
        <v>489</v>
      </c>
      <c r="H268" s="101">
        <v>195</v>
      </c>
      <c r="I268" s="43">
        <v>490359</v>
      </c>
      <c r="J268" s="43">
        <v>261973</v>
      </c>
      <c r="K268" s="43">
        <v>13099</v>
      </c>
      <c r="L268" s="43">
        <v>5000</v>
      </c>
      <c r="M268" s="43">
        <v>280071</v>
      </c>
      <c r="N268" t="s">
        <v>193</v>
      </c>
      <c r="O268" t="s">
        <v>27</v>
      </c>
    </row>
    <row r="269" spans="1:15" ht="15.75" customHeight="1">
      <c r="A269" s="27" t="s">
        <v>365</v>
      </c>
      <c r="B269" s="27" t="s">
        <v>28</v>
      </c>
      <c r="C269" s="27" t="s">
        <v>540</v>
      </c>
      <c r="D269" s="97">
        <v>45580</v>
      </c>
      <c r="E269" s="29" t="str">
        <f t="shared" si="0"/>
        <v>October</v>
      </c>
      <c r="F269" s="18">
        <f t="shared" si="1"/>
        <v>2024</v>
      </c>
      <c r="G269" s="29" t="s">
        <v>541</v>
      </c>
      <c r="H269" s="30">
        <v>9</v>
      </c>
      <c r="I269" s="32">
        <v>364939</v>
      </c>
      <c r="J269" s="32">
        <v>8998</v>
      </c>
      <c r="K269" s="32">
        <v>450</v>
      </c>
      <c r="L269" s="32">
        <v>10000</v>
      </c>
      <c r="M269" s="32">
        <v>19448</v>
      </c>
      <c r="N269" t="s">
        <v>193</v>
      </c>
      <c r="O269" t="s">
        <v>27</v>
      </c>
    </row>
    <row r="270" spans="1:15" ht="15.75" customHeight="1">
      <c r="A270" s="27" t="s">
        <v>35</v>
      </c>
      <c r="B270" s="27" t="s">
        <v>28</v>
      </c>
      <c r="C270" s="27" t="s">
        <v>542</v>
      </c>
      <c r="D270" s="97">
        <v>45580</v>
      </c>
      <c r="E270" s="29" t="str">
        <f t="shared" si="0"/>
        <v>October</v>
      </c>
      <c r="F270" s="18">
        <f t="shared" si="1"/>
        <v>2024</v>
      </c>
      <c r="G270" s="29">
        <v>45841</v>
      </c>
      <c r="H270" s="30">
        <v>144</v>
      </c>
      <c r="I270" s="32">
        <v>405852</v>
      </c>
      <c r="J270" s="32">
        <v>160117</v>
      </c>
      <c r="K270" s="32">
        <v>8006</v>
      </c>
      <c r="L270" s="32" t="s">
        <v>151</v>
      </c>
      <c r="M270" s="32">
        <v>168123</v>
      </c>
      <c r="N270" t="s">
        <v>193</v>
      </c>
      <c r="O270" t="s">
        <v>27</v>
      </c>
    </row>
    <row r="271" spans="1:15" ht="15.75" customHeight="1">
      <c r="A271" s="27" t="s">
        <v>377</v>
      </c>
      <c r="B271" s="27" t="s">
        <v>40</v>
      </c>
      <c r="C271" s="95" t="s">
        <v>543</v>
      </c>
      <c r="D271" s="97">
        <v>45579</v>
      </c>
      <c r="E271" s="29" t="str">
        <f t="shared" si="0"/>
        <v>October</v>
      </c>
      <c r="F271" s="18">
        <f t="shared" si="1"/>
        <v>2024</v>
      </c>
      <c r="G271" s="99" t="s">
        <v>517</v>
      </c>
      <c r="H271" s="101">
        <v>218</v>
      </c>
      <c r="I271" s="43">
        <v>1243617</v>
      </c>
      <c r="J271" s="43">
        <v>742763</v>
      </c>
      <c r="K271" s="43">
        <v>37138</v>
      </c>
      <c r="L271" s="43">
        <v>30000</v>
      </c>
      <c r="M271" s="43">
        <v>809901</v>
      </c>
      <c r="N271" t="s">
        <v>193</v>
      </c>
      <c r="O271" t="s">
        <v>27</v>
      </c>
    </row>
    <row r="272" spans="1:15" ht="15.75" customHeight="1">
      <c r="A272" s="27" t="s">
        <v>377</v>
      </c>
      <c r="B272" s="27" t="s">
        <v>40</v>
      </c>
      <c r="C272" s="95" t="s">
        <v>544</v>
      </c>
      <c r="D272" s="97">
        <v>45579</v>
      </c>
      <c r="E272" s="29" t="str">
        <f t="shared" si="0"/>
        <v>October</v>
      </c>
      <c r="F272" s="18">
        <f t="shared" si="1"/>
        <v>2024</v>
      </c>
      <c r="G272" s="99" t="s">
        <v>517</v>
      </c>
      <c r="H272" s="101">
        <v>218</v>
      </c>
      <c r="I272" s="43">
        <v>636244</v>
      </c>
      <c r="J272" s="43">
        <v>380003</v>
      </c>
      <c r="K272" s="43">
        <v>19000</v>
      </c>
      <c r="L272" s="43">
        <v>20000</v>
      </c>
      <c r="M272" s="43">
        <v>419003</v>
      </c>
      <c r="N272" t="s">
        <v>193</v>
      </c>
      <c r="O272" t="s">
        <v>27</v>
      </c>
    </row>
    <row r="273" spans="1:15" ht="15.75" customHeight="1">
      <c r="A273" s="27" t="s">
        <v>427</v>
      </c>
      <c r="B273" s="27" t="s">
        <v>28</v>
      </c>
      <c r="C273" s="95" t="s">
        <v>545</v>
      </c>
      <c r="D273" s="97">
        <v>45579</v>
      </c>
      <c r="E273" s="29" t="str">
        <f t="shared" si="0"/>
        <v>October</v>
      </c>
      <c r="F273" s="18">
        <f t="shared" si="1"/>
        <v>2024</v>
      </c>
      <c r="G273" s="99">
        <v>45846</v>
      </c>
      <c r="H273" s="101">
        <v>298</v>
      </c>
      <c r="I273" s="43">
        <v>875443</v>
      </c>
      <c r="J273" s="43">
        <v>714745</v>
      </c>
      <c r="K273" s="43">
        <v>35737</v>
      </c>
      <c r="L273" s="43">
        <v>50000</v>
      </c>
      <c r="M273" s="43">
        <v>800483</v>
      </c>
      <c r="N273" t="s">
        <v>193</v>
      </c>
      <c r="O273" t="s">
        <v>27</v>
      </c>
    </row>
    <row r="274" spans="1:15" ht="15.75" customHeight="1">
      <c r="J274" s="33"/>
    </row>
    <row r="275" spans="1:15" ht="15.75" customHeight="1">
      <c r="J275" s="33"/>
    </row>
    <row r="276" spans="1:15" ht="15.75" customHeight="1">
      <c r="J276" s="33"/>
    </row>
    <row r="277" spans="1:15" ht="15.75" customHeight="1">
      <c r="J277" s="33"/>
    </row>
    <row r="278" spans="1:15" ht="15.75" customHeight="1">
      <c r="J278" s="33"/>
    </row>
    <row r="279" spans="1:15" ht="15.75" customHeight="1">
      <c r="J279" s="33"/>
    </row>
    <row r="280" spans="1:15" ht="15.75" customHeight="1">
      <c r="J280" s="33"/>
    </row>
    <row r="281" spans="1:15" ht="15.75" customHeight="1">
      <c r="J281" s="33"/>
    </row>
    <row r="282" spans="1:15" ht="15.75" customHeight="1">
      <c r="J282" s="33"/>
    </row>
    <row r="283" spans="1:15" ht="15.75" customHeight="1">
      <c r="J283" s="33"/>
    </row>
    <row r="284" spans="1:15" ht="15.75" customHeight="1">
      <c r="J284" s="33"/>
    </row>
    <row r="285" spans="1:15" ht="15.75" customHeight="1">
      <c r="J285" s="33"/>
    </row>
    <row r="286" spans="1:15" ht="15.75" customHeight="1">
      <c r="J286" s="33"/>
    </row>
    <row r="287" spans="1:15" ht="15.75" customHeight="1">
      <c r="J287" s="33"/>
    </row>
    <row r="288" spans="1:15" ht="15.75" customHeight="1">
      <c r="J288" s="33"/>
    </row>
    <row r="289" spans="10:10" ht="15.75" customHeight="1">
      <c r="J289" s="33"/>
    </row>
    <row r="290" spans="10:10" ht="15.75" customHeight="1">
      <c r="J290" s="33"/>
    </row>
    <row r="291" spans="10:10" ht="15.75" customHeight="1">
      <c r="J291" s="33"/>
    </row>
    <row r="292" spans="10:10" ht="15.75" customHeight="1">
      <c r="J292" s="33"/>
    </row>
    <row r="293" spans="10:10" ht="15.75" customHeight="1">
      <c r="J293" s="33"/>
    </row>
    <row r="294" spans="10:10" ht="15.75" customHeight="1">
      <c r="J294" s="33"/>
    </row>
    <row r="295" spans="10:10" ht="15.75" customHeight="1">
      <c r="J295" s="33"/>
    </row>
    <row r="296" spans="10:10" ht="15.75" customHeight="1">
      <c r="J296" s="33"/>
    </row>
    <row r="297" spans="10:10" ht="15.75" customHeight="1">
      <c r="J297" s="33"/>
    </row>
    <row r="298" spans="10:10" ht="15.75" customHeight="1">
      <c r="J298" s="33"/>
    </row>
    <row r="299" spans="10:10" ht="15.75" customHeight="1">
      <c r="J299" s="33"/>
    </row>
    <row r="300" spans="10:10" ht="15.75" customHeight="1">
      <c r="J300" s="33"/>
    </row>
    <row r="301" spans="10:10" ht="15.75" customHeight="1">
      <c r="J301" s="33"/>
    </row>
    <row r="302" spans="10:10" ht="15.75" customHeight="1">
      <c r="J302" s="33"/>
    </row>
    <row r="303" spans="10:10" ht="15.75" customHeight="1">
      <c r="J303" s="33"/>
    </row>
    <row r="304" spans="10:10" ht="15.75" customHeight="1">
      <c r="J304" s="33"/>
    </row>
    <row r="305" spans="10:10" ht="15.75" customHeight="1">
      <c r="J305" s="33"/>
    </row>
    <row r="306" spans="10:10" ht="15.75" customHeight="1">
      <c r="J306" s="33"/>
    </row>
    <row r="307" spans="10:10" ht="15.75" customHeight="1">
      <c r="J307" s="33"/>
    </row>
    <row r="308" spans="10:10" ht="15.75" customHeight="1">
      <c r="J308" s="33"/>
    </row>
    <row r="309" spans="10:10" ht="15.75" customHeight="1">
      <c r="J309" s="33"/>
    </row>
    <row r="310" spans="10:10" ht="15.75" customHeight="1">
      <c r="J310" s="33"/>
    </row>
    <row r="311" spans="10:10" ht="15.75" customHeight="1">
      <c r="J311" s="33"/>
    </row>
    <row r="312" spans="10:10" ht="15.75" customHeight="1">
      <c r="J312" s="33"/>
    </row>
    <row r="313" spans="10:10" ht="15.75" customHeight="1">
      <c r="J313" s="33"/>
    </row>
    <row r="314" spans="10:10" ht="15.75" customHeight="1">
      <c r="J314" s="33"/>
    </row>
    <row r="315" spans="10:10" ht="15.75" customHeight="1">
      <c r="J315" s="33"/>
    </row>
    <row r="316" spans="10:10" ht="15.75" customHeight="1">
      <c r="J316" s="33"/>
    </row>
    <row r="317" spans="10:10" ht="15.75" customHeight="1">
      <c r="J317" s="33"/>
    </row>
    <row r="318" spans="10:10" ht="15.75" customHeight="1">
      <c r="J318" s="33"/>
    </row>
    <row r="319" spans="10:10" ht="15.75" customHeight="1">
      <c r="J319" s="33"/>
    </row>
    <row r="320" spans="10:10" ht="15.75" customHeight="1">
      <c r="J320" s="33"/>
    </row>
    <row r="321" spans="10:10" ht="15.75" customHeight="1">
      <c r="J321" s="33"/>
    </row>
    <row r="322" spans="10:10" ht="15.75" customHeight="1">
      <c r="J322" s="33"/>
    </row>
    <row r="323" spans="10:10" ht="15.75" customHeight="1">
      <c r="J323" s="33"/>
    </row>
    <row r="324" spans="10:10" ht="15.75" customHeight="1">
      <c r="J324" s="33"/>
    </row>
    <row r="325" spans="10:10" ht="15.75" customHeight="1">
      <c r="J325" s="33"/>
    </row>
    <row r="326" spans="10:10" ht="15.75" customHeight="1">
      <c r="J326" s="33"/>
    </row>
    <row r="327" spans="10:10" ht="15.75" customHeight="1">
      <c r="J327" s="33"/>
    </row>
    <row r="328" spans="10:10" ht="15.75" customHeight="1">
      <c r="J328" s="33"/>
    </row>
    <row r="329" spans="10:10" ht="15.75" customHeight="1">
      <c r="J329" s="33"/>
    </row>
    <row r="330" spans="10:10" ht="15.75" customHeight="1">
      <c r="J330" s="33"/>
    </row>
    <row r="331" spans="10:10" ht="15.75" customHeight="1">
      <c r="J331" s="33"/>
    </row>
    <row r="332" spans="10:10" ht="15.75" customHeight="1">
      <c r="J332" s="33"/>
    </row>
    <row r="333" spans="10:10" ht="15.75" customHeight="1">
      <c r="J333" s="33"/>
    </row>
    <row r="334" spans="10:10" ht="15.75" customHeight="1">
      <c r="J334" s="33"/>
    </row>
    <row r="335" spans="10:10" ht="15.75" customHeight="1">
      <c r="J335" s="33"/>
    </row>
    <row r="336" spans="10:10" ht="15.75" customHeight="1">
      <c r="J336" s="33"/>
    </row>
    <row r="337" spans="10:10" ht="15.75" customHeight="1">
      <c r="J337" s="33"/>
    </row>
    <row r="338" spans="10:10" ht="15.75" customHeight="1">
      <c r="J338" s="33"/>
    </row>
    <row r="339" spans="10:10" ht="15.75" customHeight="1">
      <c r="J339" s="33"/>
    </row>
    <row r="340" spans="10:10" ht="15.75" customHeight="1">
      <c r="J340" s="33"/>
    </row>
    <row r="341" spans="10:10" ht="15.75" customHeight="1">
      <c r="J341" s="33"/>
    </row>
    <row r="342" spans="10:10" ht="15.75" customHeight="1">
      <c r="J342" s="33"/>
    </row>
    <row r="343" spans="10:10" ht="15.75" customHeight="1">
      <c r="J343" s="33"/>
    </row>
    <row r="344" spans="10:10" ht="15.75" customHeight="1">
      <c r="J344" s="33"/>
    </row>
    <row r="345" spans="10:10" ht="15.75" customHeight="1">
      <c r="J345" s="33"/>
    </row>
    <row r="346" spans="10:10" ht="15.75" customHeight="1">
      <c r="J346" s="33"/>
    </row>
    <row r="347" spans="10:10" ht="15.75" customHeight="1">
      <c r="J347" s="33"/>
    </row>
    <row r="348" spans="10:10" ht="15.75" customHeight="1">
      <c r="J348" s="33"/>
    </row>
    <row r="349" spans="10:10" ht="15.75" customHeight="1">
      <c r="J349" s="33"/>
    </row>
    <row r="350" spans="10:10" ht="15.75" customHeight="1">
      <c r="J350" s="33"/>
    </row>
    <row r="351" spans="10:10" ht="15.75" customHeight="1">
      <c r="J351" s="33"/>
    </row>
    <row r="352" spans="10:10" ht="15.75" customHeight="1">
      <c r="J352" s="33"/>
    </row>
    <row r="353" spans="10:10" ht="15.75" customHeight="1">
      <c r="J353" s="33"/>
    </row>
    <row r="354" spans="10:10" ht="15.75" customHeight="1">
      <c r="J354" s="33"/>
    </row>
    <row r="355" spans="10:10" ht="15.75" customHeight="1">
      <c r="J355" s="33"/>
    </row>
    <row r="356" spans="10:10" ht="15.75" customHeight="1">
      <c r="J356" s="33"/>
    </row>
    <row r="357" spans="10:10" ht="15.75" customHeight="1">
      <c r="J357" s="33"/>
    </row>
    <row r="358" spans="10:10" ht="15.75" customHeight="1">
      <c r="J358" s="33"/>
    </row>
    <row r="359" spans="10:10" ht="15.75" customHeight="1">
      <c r="J359" s="33"/>
    </row>
    <row r="360" spans="10:10" ht="15.75" customHeight="1">
      <c r="J360" s="33"/>
    </row>
    <row r="361" spans="10:10" ht="15.75" customHeight="1">
      <c r="J361" s="33"/>
    </row>
    <row r="362" spans="10:10" ht="15.75" customHeight="1">
      <c r="J362" s="33"/>
    </row>
    <row r="363" spans="10:10" ht="15.75" customHeight="1">
      <c r="J363" s="33"/>
    </row>
    <row r="364" spans="10:10" ht="15.75" customHeight="1">
      <c r="J364" s="33"/>
    </row>
    <row r="365" spans="10:10" ht="15.75" customHeight="1">
      <c r="J365" s="33"/>
    </row>
    <row r="366" spans="10:10" ht="15.75" customHeight="1">
      <c r="J366" s="33"/>
    </row>
    <row r="367" spans="10:10" ht="15.75" customHeight="1">
      <c r="J367" s="33"/>
    </row>
    <row r="368" spans="10:10" ht="15.75" customHeight="1">
      <c r="J368" s="33"/>
    </row>
    <row r="369" spans="10:10" ht="15.75" customHeight="1">
      <c r="J369" s="33"/>
    </row>
    <row r="370" spans="10:10" ht="15.75" customHeight="1">
      <c r="J370" s="33"/>
    </row>
    <row r="371" spans="10:10" ht="15.75" customHeight="1">
      <c r="J371" s="33"/>
    </row>
    <row r="372" spans="10:10" ht="15.75" customHeight="1">
      <c r="J372" s="33"/>
    </row>
    <row r="373" spans="10:10" ht="15.75" customHeight="1">
      <c r="J373" s="33"/>
    </row>
    <row r="374" spans="10:10" ht="15.75" customHeight="1">
      <c r="J374" s="33"/>
    </row>
    <row r="375" spans="10:10" ht="15.75" customHeight="1">
      <c r="J375" s="33"/>
    </row>
    <row r="376" spans="10:10" ht="15.75" customHeight="1">
      <c r="J376" s="33"/>
    </row>
    <row r="377" spans="10:10" ht="15.75" customHeight="1">
      <c r="J377" s="33"/>
    </row>
    <row r="378" spans="10:10" ht="15.75" customHeight="1">
      <c r="J378" s="33"/>
    </row>
    <row r="379" spans="10:10" ht="15.75" customHeight="1">
      <c r="J379" s="33"/>
    </row>
    <row r="380" spans="10:10" ht="15.75" customHeight="1">
      <c r="J380" s="33"/>
    </row>
    <row r="381" spans="10:10" ht="15.75" customHeight="1">
      <c r="J381" s="33"/>
    </row>
    <row r="382" spans="10:10" ht="15.75" customHeight="1">
      <c r="J382" s="33"/>
    </row>
    <row r="383" spans="10:10" ht="15.75" customHeight="1">
      <c r="J383" s="33"/>
    </row>
    <row r="384" spans="10:10" ht="15.75" customHeight="1">
      <c r="J384" s="33"/>
    </row>
    <row r="385" spans="10:10" ht="15.75" customHeight="1">
      <c r="J385" s="33"/>
    </row>
    <row r="386" spans="10:10" ht="15.75" customHeight="1">
      <c r="J386" s="33"/>
    </row>
    <row r="387" spans="10:10" ht="15.75" customHeight="1">
      <c r="J387" s="33"/>
    </row>
    <row r="388" spans="10:10" ht="15.75" customHeight="1">
      <c r="J388" s="33"/>
    </row>
    <row r="389" spans="10:10" ht="15.75" customHeight="1">
      <c r="J389" s="33"/>
    </row>
    <row r="390" spans="10:10" ht="15.75" customHeight="1">
      <c r="J390" s="33"/>
    </row>
    <row r="391" spans="10:10" ht="15.75" customHeight="1">
      <c r="J391" s="33"/>
    </row>
    <row r="392" spans="10:10" ht="15.75" customHeight="1">
      <c r="J392" s="33"/>
    </row>
    <row r="393" spans="10:10" ht="15.75" customHeight="1">
      <c r="J393" s="33"/>
    </row>
    <row r="394" spans="10:10" ht="15.75" customHeight="1">
      <c r="J394" s="33"/>
    </row>
    <row r="395" spans="10:10" ht="15.75" customHeight="1">
      <c r="J395" s="33"/>
    </row>
    <row r="396" spans="10:10" ht="15.75" customHeight="1">
      <c r="J396" s="33"/>
    </row>
    <row r="397" spans="10:10" ht="15.75" customHeight="1">
      <c r="J397" s="33"/>
    </row>
    <row r="398" spans="10:10" ht="15.75" customHeight="1">
      <c r="J398" s="33"/>
    </row>
    <row r="399" spans="10:10" ht="15.75" customHeight="1">
      <c r="J399" s="33"/>
    </row>
    <row r="400" spans="10:10" ht="15.75" customHeight="1">
      <c r="J400" s="33"/>
    </row>
    <row r="401" spans="10:10" ht="15.75" customHeight="1">
      <c r="J401" s="33"/>
    </row>
    <row r="402" spans="10:10" ht="15.75" customHeight="1">
      <c r="J402" s="33"/>
    </row>
    <row r="403" spans="10:10" ht="15.75" customHeight="1">
      <c r="J403" s="33"/>
    </row>
    <row r="404" spans="10:10" ht="15.75" customHeight="1">
      <c r="J404" s="33"/>
    </row>
    <row r="405" spans="10:10" ht="15.75" customHeight="1">
      <c r="J405" s="33"/>
    </row>
    <row r="406" spans="10:10" ht="15.75" customHeight="1">
      <c r="J406" s="33"/>
    </row>
    <row r="407" spans="10:10" ht="15.75" customHeight="1">
      <c r="J407" s="33"/>
    </row>
    <row r="408" spans="10:10" ht="15.75" customHeight="1">
      <c r="J408" s="33"/>
    </row>
    <row r="409" spans="10:10" ht="15.75" customHeight="1">
      <c r="J409" s="33"/>
    </row>
    <row r="410" spans="10:10" ht="15.75" customHeight="1">
      <c r="J410" s="33"/>
    </row>
    <row r="411" spans="10:10" ht="15.75" customHeight="1">
      <c r="J411" s="33"/>
    </row>
    <row r="412" spans="10:10" ht="15.75" customHeight="1">
      <c r="J412" s="33"/>
    </row>
    <row r="413" spans="10:10" ht="15.75" customHeight="1">
      <c r="J413" s="33"/>
    </row>
    <row r="414" spans="10:10" ht="15.75" customHeight="1">
      <c r="J414" s="33"/>
    </row>
    <row r="415" spans="10:10" ht="15.75" customHeight="1">
      <c r="J415" s="33"/>
    </row>
    <row r="416" spans="10:10" ht="15.75" customHeight="1">
      <c r="J416" s="33"/>
    </row>
    <row r="417" spans="10:10" ht="15.75" customHeight="1">
      <c r="J417" s="33"/>
    </row>
    <row r="418" spans="10:10" ht="15.75" customHeight="1">
      <c r="J418" s="33"/>
    </row>
    <row r="419" spans="10:10" ht="15.75" customHeight="1">
      <c r="J419" s="33"/>
    </row>
    <row r="420" spans="10:10" ht="15.75" customHeight="1">
      <c r="J420" s="33"/>
    </row>
    <row r="421" spans="10:10" ht="15.75" customHeight="1">
      <c r="J421" s="33"/>
    </row>
    <row r="422" spans="10:10" ht="15.75" customHeight="1">
      <c r="J422" s="33"/>
    </row>
    <row r="423" spans="10:10" ht="15.75" customHeight="1">
      <c r="J423" s="33"/>
    </row>
    <row r="424" spans="10:10" ht="15.75" customHeight="1">
      <c r="J424" s="33"/>
    </row>
    <row r="425" spans="10:10" ht="15.75" customHeight="1">
      <c r="J425" s="33"/>
    </row>
    <row r="426" spans="10:10" ht="15.75" customHeight="1">
      <c r="J426" s="33"/>
    </row>
    <row r="427" spans="10:10" ht="15.75" customHeight="1">
      <c r="J427" s="33"/>
    </row>
    <row r="428" spans="10:10" ht="15.75" customHeight="1">
      <c r="J428" s="33"/>
    </row>
    <row r="429" spans="10:10" ht="15.75" customHeight="1">
      <c r="J429" s="33"/>
    </row>
    <row r="430" spans="10:10" ht="15.75" customHeight="1">
      <c r="J430" s="33"/>
    </row>
    <row r="431" spans="10:10" ht="15.75" customHeight="1">
      <c r="J431" s="33"/>
    </row>
    <row r="432" spans="10:10" ht="15.75" customHeight="1">
      <c r="J432" s="33"/>
    </row>
    <row r="433" spans="10:10" ht="15.75" customHeight="1">
      <c r="J433" s="33"/>
    </row>
    <row r="434" spans="10:10" ht="15.75" customHeight="1">
      <c r="J434" s="33"/>
    </row>
    <row r="435" spans="10:10" ht="15.75" customHeight="1">
      <c r="J435" s="33"/>
    </row>
    <row r="436" spans="10:10" ht="15.75" customHeight="1">
      <c r="J436" s="33"/>
    </row>
    <row r="437" spans="10:10" ht="15.75" customHeight="1">
      <c r="J437" s="33"/>
    </row>
    <row r="438" spans="10:10" ht="15.75" customHeight="1">
      <c r="J438" s="33"/>
    </row>
    <row r="439" spans="10:10" ht="15.75" customHeight="1">
      <c r="J439" s="33"/>
    </row>
    <row r="440" spans="10:10" ht="15.75" customHeight="1">
      <c r="J440" s="33"/>
    </row>
    <row r="441" spans="10:10" ht="15.75" customHeight="1">
      <c r="J441" s="33"/>
    </row>
    <row r="442" spans="10:10" ht="15.75" customHeight="1">
      <c r="J442" s="33"/>
    </row>
    <row r="443" spans="10:10" ht="15.75" customHeight="1">
      <c r="J443" s="33"/>
    </row>
    <row r="444" spans="10:10" ht="15.75" customHeight="1">
      <c r="J444" s="33"/>
    </row>
    <row r="445" spans="10:10" ht="15.75" customHeight="1">
      <c r="J445" s="33"/>
    </row>
    <row r="446" spans="10:10" ht="15.75" customHeight="1">
      <c r="J446" s="33"/>
    </row>
    <row r="447" spans="10:10" ht="15.75" customHeight="1">
      <c r="J447" s="33"/>
    </row>
    <row r="448" spans="10:10" ht="15.75" customHeight="1">
      <c r="J448" s="33"/>
    </row>
    <row r="449" spans="10:10" ht="15.75" customHeight="1">
      <c r="J449" s="33"/>
    </row>
    <row r="450" spans="10:10" ht="15.75" customHeight="1">
      <c r="J450" s="33"/>
    </row>
    <row r="451" spans="10:10" ht="15.75" customHeight="1">
      <c r="J451" s="33"/>
    </row>
    <row r="452" spans="10:10" ht="15.75" customHeight="1">
      <c r="J452" s="33"/>
    </row>
    <row r="453" spans="10:10" ht="15.75" customHeight="1">
      <c r="J453" s="33"/>
    </row>
    <row r="454" spans="10:10" ht="15.75" customHeight="1">
      <c r="J454" s="33"/>
    </row>
    <row r="455" spans="10:10" ht="15.75" customHeight="1">
      <c r="J455" s="33"/>
    </row>
    <row r="456" spans="10:10" ht="15.75" customHeight="1">
      <c r="J456" s="33"/>
    </row>
    <row r="457" spans="10:10" ht="15.75" customHeight="1">
      <c r="J457" s="33"/>
    </row>
    <row r="458" spans="10:10" ht="15.75" customHeight="1">
      <c r="J458" s="33"/>
    </row>
    <row r="459" spans="10:10" ht="15.75" customHeight="1">
      <c r="J459" s="33"/>
    </row>
    <row r="460" spans="10:10" ht="15.75" customHeight="1">
      <c r="J460" s="33"/>
    </row>
    <row r="461" spans="10:10" ht="15.75" customHeight="1">
      <c r="J461" s="33"/>
    </row>
    <row r="462" spans="10:10" ht="15.75" customHeight="1">
      <c r="J462" s="33"/>
    </row>
    <row r="463" spans="10:10" ht="15.75" customHeight="1">
      <c r="J463" s="33"/>
    </row>
    <row r="464" spans="10:10" ht="15.75" customHeight="1">
      <c r="J464" s="33"/>
    </row>
    <row r="465" spans="10:10" ht="15.75" customHeight="1">
      <c r="J465" s="33"/>
    </row>
    <row r="466" spans="10:10" ht="15.75" customHeight="1">
      <c r="J466" s="33"/>
    </row>
    <row r="467" spans="10:10" ht="15.75" customHeight="1">
      <c r="J467" s="33"/>
    </row>
    <row r="468" spans="10:10" ht="15.75" customHeight="1">
      <c r="J468" s="33"/>
    </row>
    <row r="469" spans="10:10" ht="15.75" customHeight="1">
      <c r="J469" s="33"/>
    </row>
    <row r="470" spans="10:10" ht="15.75" customHeight="1">
      <c r="J470" s="33"/>
    </row>
    <row r="471" spans="10:10" ht="15.75" customHeight="1">
      <c r="J471" s="33"/>
    </row>
    <row r="472" spans="10:10" ht="15.75" customHeight="1">
      <c r="J472" s="33"/>
    </row>
    <row r="473" spans="10:10" ht="15.75" customHeight="1">
      <c r="J473" s="33"/>
    </row>
    <row r="474" spans="10:10" ht="15.75" customHeight="1">
      <c r="J474" s="33"/>
    </row>
    <row r="475" spans="10:10" ht="15.75" customHeight="1">
      <c r="J475" s="33"/>
    </row>
    <row r="476" spans="10:10" ht="15.75" customHeight="1">
      <c r="J476" s="33"/>
    </row>
    <row r="477" spans="10:10" ht="15.75" customHeight="1">
      <c r="J477" s="33"/>
    </row>
    <row r="478" spans="10:10" ht="15.75" customHeight="1">
      <c r="J478" s="33"/>
    </row>
    <row r="479" spans="10:10" ht="15.75" customHeight="1">
      <c r="J479" s="33"/>
    </row>
    <row r="480" spans="10:10" ht="15.75" customHeight="1">
      <c r="J480" s="33"/>
    </row>
    <row r="481" spans="10:10" ht="15.75" customHeight="1">
      <c r="J481" s="33"/>
    </row>
    <row r="482" spans="10:10" ht="15.75" customHeight="1">
      <c r="J482" s="33"/>
    </row>
    <row r="483" spans="10:10" ht="15.75" customHeight="1">
      <c r="J483" s="33"/>
    </row>
    <row r="484" spans="10:10" ht="15.75" customHeight="1">
      <c r="J484" s="33"/>
    </row>
    <row r="485" spans="10:10" ht="15.75" customHeight="1">
      <c r="J485" s="33"/>
    </row>
    <row r="486" spans="10:10" ht="15.75" customHeight="1">
      <c r="J486" s="33"/>
    </row>
    <row r="487" spans="10:10" ht="15.75" customHeight="1">
      <c r="J487" s="33"/>
    </row>
    <row r="488" spans="10:10" ht="15.75" customHeight="1">
      <c r="J488" s="33"/>
    </row>
    <row r="489" spans="10:10" ht="15.75" customHeight="1">
      <c r="J489" s="33"/>
    </row>
    <row r="490" spans="10:10" ht="15.75" customHeight="1">
      <c r="J490" s="33"/>
    </row>
    <row r="491" spans="10:10" ht="15.75" customHeight="1">
      <c r="J491" s="33"/>
    </row>
    <row r="492" spans="10:10" ht="15.75" customHeight="1">
      <c r="J492" s="33"/>
    </row>
    <row r="493" spans="10:10" ht="15.75" customHeight="1">
      <c r="J493" s="33"/>
    </row>
    <row r="494" spans="10:10" ht="15.75" customHeight="1">
      <c r="J494" s="33"/>
    </row>
    <row r="495" spans="10:10" ht="15.75" customHeight="1">
      <c r="J495" s="33"/>
    </row>
    <row r="496" spans="10:10" ht="15.75" customHeight="1">
      <c r="J496" s="33"/>
    </row>
    <row r="497" spans="10:10" ht="15.75" customHeight="1">
      <c r="J497" s="33"/>
    </row>
    <row r="498" spans="10:10" ht="15.75" customHeight="1">
      <c r="J498" s="33"/>
    </row>
    <row r="499" spans="10:10" ht="15.75" customHeight="1">
      <c r="J499" s="33"/>
    </row>
    <row r="500" spans="10:10" ht="15.75" customHeight="1">
      <c r="J500" s="33"/>
    </row>
    <row r="501" spans="10:10" ht="15.75" customHeight="1">
      <c r="J501" s="33"/>
    </row>
    <row r="502" spans="10:10" ht="15.75" customHeight="1">
      <c r="J502" s="33"/>
    </row>
    <row r="503" spans="10:10" ht="15.75" customHeight="1">
      <c r="J503" s="33"/>
    </row>
    <row r="504" spans="10:10" ht="15.75" customHeight="1">
      <c r="J504" s="33"/>
    </row>
    <row r="505" spans="10:10" ht="15.75" customHeight="1">
      <c r="J505" s="33"/>
    </row>
    <row r="506" spans="10:10" ht="15.75" customHeight="1">
      <c r="J506" s="33"/>
    </row>
    <row r="507" spans="10:10" ht="15.75" customHeight="1">
      <c r="J507" s="33"/>
    </row>
    <row r="508" spans="10:10" ht="15.75" customHeight="1">
      <c r="J508" s="33"/>
    </row>
    <row r="509" spans="10:10" ht="15.75" customHeight="1">
      <c r="J509" s="33"/>
    </row>
    <row r="510" spans="10:10" ht="15.75" customHeight="1">
      <c r="J510" s="33"/>
    </row>
    <row r="511" spans="10:10" ht="15.75" customHeight="1">
      <c r="J511" s="33"/>
    </row>
    <row r="512" spans="10:10" ht="15.75" customHeight="1">
      <c r="J512" s="33"/>
    </row>
    <row r="513" spans="10:10" ht="15.75" customHeight="1">
      <c r="J513" s="33"/>
    </row>
    <row r="514" spans="10:10" ht="15.75" customHeight="1">
      <c r="J514" s="33"/>
    </row>
    <row r="515" spans="10:10" ht="15.75" customHeight="1">
      <c r="J515" s="33"/>
    </row>
    <row r="516" spans="10:10" ht="15.75" customHeight="1">
      <c r="J516" s="33"/>
    </row>
    <row r="517" spans="10:10" ht="15.75" customHeight="1">
      <c r="J517" s="33"/>
    </row>
    <row r="518" spans="10:10" ht="15.75" customHeight="1">
      <c r="J518" s="33"/>
    </row>
    <row r="519" spans="10:10" ht="15.75" customHeight="1">
      <c r="J519" s="33"/>
    </row>
    <row r="520" spans="10:10" ht="15.75" customHeight="1">
      <c r="J520" s="33"/>
    </row>
    <row r="521" spans="10:10" ht="15.75" customHeight="1">
      <c r="J521" s="33"/>
    </row>
    <row r="522" spans="10:10" ht="15.75" customHeight="1">
      <c r="J522" s="33"/>
    </row>
    <row r="523" spans="10:10" ht="15.75" customHeight="1">
      <c r="J523" s="33"/>
    </row>
    <row r="524" spans="10:10" ht="15.75" customHeight="1">
      <c r="J524" s="33"/>
    </row>
    <row r="525" spans="10:10" ht="15.75" customHeight="1">
      <c r="J525" s="33"/>
    </row>
    <row r="526" spans="10:10" ht="15.75" customHeight="1">
      <c r="J526" s="33"/>
    </row>
    <row r="527" spans="10:10" ht="15.75" customHeight="1">
      <c r="J527" s="33"/>
    </row>
    <row r="528" spans="10:10" ht="15.75" customHeight="1">
      <c r="J528" s="33"/>
    </row>
    <row r="529" spans="10:10" ht="15.75" customHeight="1">
      <c r="J529" s="33"/>
    </row>
    <row r="530" spans="10:10" ht="15.75" customHeight="1">
      <c r="J530" s="33"/>
    </row>
    <row r="531" spans="10:10" ht="15.75" customHeight="1">
      <c r="J531" s="33"/>
    </row>
    <row r="532" spans="10:10" ht="15.75" customHeight="1">
      <c r="J532" s="33"/>
    </row>
    <row r="533" spans="10:10" ht="15.75" customHeight="1">
      <c r="J533" s="33"/>
    </row>
    <row r="534" spans="10:10" ht="15.75" customHeight="1">
      <c r="J534" s="33"/>
    </row>
    <row r="535" spans="10:10" ht="15.75" customHeight="1">
      <c r="J535" s="33"/>
    </row>
    <row r="536" spans="10:10" ht="15.75" customHeight="1">
      <c r="J536" s="33"/>
    </row>
    <row r="537" spans="10:10" ht="15.75" customHeight="1">
      <c r="J537" s="33"/>
    </row>
    <row r="538" spans="10:10" ht="15.75" customHeight="1">
      <c r="J538" s="33"/>
    </row>
    <row r="539" spans="10:10" ht="15.75" customHeight="1">
      <c r="J539" s="33"/>
    </row>
    <row r="540" spans="10:10" ht="15.75" customHeight="1">
      <c r="J540" s="33"/>
    </row>
    <row r="541" spans="10:10" ht="15.75" customHeight="1">
      <c r="J541" s="33"/>
    </row>
    <row r="542" spans="10:10" ht="15.75" customHeight="1">
      <c r="J542" s="33"/>
    </row>
    <row r="543" spans="10:10" ht="15.75" customHeight="1">
      <c r="J543" s="33"/>
    </row>
    <row r="544" spans="10:10" ht="15.75" customHeight="1">
      <c r="J544" s="33"/>
    </row>
    <row r="545" spans="10:10" ht="15.75" customHeight="1">
      <c r="J545" s="33"/>
    </row>
    <row r="546" spans="10:10" ht="15.75" customHeight="1">
      <c r="J546" s="33"/>
    </row>
    <row r="547" spans="10:10" ht="15.75" customHeight="1">
      <c r="J547" s="33"/>
    </row>
    <row r="548" spans="10:10" ht="15.75" customHeight="1">
      <c r="J548" s="33"/>
    </row>
    <row r="549" spans="10:10" ht="15.75" customHeight="1">
      <c r="J549" s="33"/>
    </row>
    <row r="550" spans="10:10" ht="15.75" customHeight="1">
      <c r="J550" s="33"/>
    </row>
    <row r="551" spans="10:10" ht="15.75" customHeight="1">
      <c r="J551" s="33"/>
    </row>
    <row r="552" spans="10:10" ht="15.75" customHeight="1">
      <c r="J552" s="33"/>
    </row>
    <row r="553" spans="10:10" ht="15.75" customHeight="1">
      <c r="J553" s="33"/>
    </row>
    <row r="554" spans="10:10" ht="15.75" customHeight="1">
      <c r="J554" s="33"/>
    </row>
    <row r="555" spans="10:10" ht="15.75" customHeight="1">
      <c r="J555" s="33"/>
    </row>
    <row r="556" spans="10:10" ht="15.75" customHeight="1">
      <c r="J556" s="33"/>
    </row>
    <row r="557" spans="10:10" ht="15.75" customHeight="1">
      <c r="J557" s="33"/>
    </row>
    <row r="558" spans="10:10" ht="15.75" customHeight="1">
      <c r="J558" s="33"/>
    </row>
    <row r="559" spans="10:10" ht="15.75" customHeight="1">
      <c r="J559" s="33"/>
    </row>
    <row r="560" spans="10:10" ht="15.75" customHeight="1">
      <c r="J560" s="33"/>
    </row>
    <row r="561" spans="10:10" ht="15.75" customHeight="1">
      <c r="J561" s="33"/>
    </row>
    <row r="562" spans="10:10" ht="15.75" customHeight="1">
      <c r="J562" s="33"/>
    </row>
    <row r="563" spans="10:10" ht="15.75" customHeight="1">
      <c r="J563" s="33"/>
    </row>
    <row r="564" spans="10:10" ht="15.75" customHeight="1">
      <c r="J564" s="33"/>
    </row>
    <row r="565" spans="10:10" ht="15.75" customHeight="1">
      <c r="J565" s="33"/>
    </row>
    <row r="566" spans="10:10" ht="15.75" customHeight="1">
      <c r="J566" s="33"/>
    </row>
    <row r="567" spans="10:10" ht="15.75" customHeight="1">
      <c r="J567" s="33"/>
    </row>
    <row r="568" spans="10:10" ht="15.75" customHeight="1">
      <c r="J568" s="33"/>
    </row>
    <row r="569" spans="10:10" ht="15.75" customHeight="1">
      <c r="J569" s="33"/>
    </row>
    <row r="570" spans="10:10" ht="15.75" customHeight="1">
      <c r="J570" s="33"/>
    </row>
    <row r="571" spans="10:10" ht="15.75" customHeight="1">
      <c r="J571" s="33"/>
    </row>
    <row r="572" spans="10:10" ht="15.75" customHeight="1">
      <c r="J572" s="33"/>
    </row>
    <row r="573" spans="10:10" ht="15.75" customHeight="1">
      <c r="J573" s="33"/>
    </row>
    <row r="574" spans="10:10" ht="15.75" customHeight="1">
      <c r="J574" s="33"/>
    </row>
    <row r="575" spans="10:10" ht="15.75" customHeight="1">
      <c r="J575" s="33"/>
    </row>
    <row r="576" spans="10:10" ht="15.75" customHeight="1">
      <c r="J576" s="33"/>
    </row>
    <row r="577" spans="10:10" ht="15.75" customHeight="1">
      <c r="J577" s="33"/>
    </row>
    <row r="578" spans="10:10" ht="15.75" customHeight="1">
      <c r="J578" s="33"/>
    </row>
    <row r="579" spans="10:10" ht="15.75" customHeight="1">
      <c r="J579" s="33"/>
    </row>
    <row r="580" spans="10:10" ht="15.75" customHeight="1">
      <c r="J580" s="33"/>
    </row>
    <row r="581" spans="10:10" ht="15.75" customHeight="1">
      <c r="J581" s="33"/>
    </row>
    <row r="582" spans="10:10" ht="15.75" customHeight="1">
      <c r="J582" s="33"/>
    </row>
    <row r="583" spans="10:10" ht="15.75" customHeight="1">
      <c r="J583" s="33"/>
    </row>
    <row r="584" spans="10:10" ht="15.75" customHeight="1">
      <c r="J584" s="33"/>
    </row>
    <row r="585" spans="10:10" ht="15.75" customHeight="1">
      <c r="J585" s="33"/>
    </row>
    <row r="586" spans="10:10" ht="15.75" customHeight="1">
      <c r="J586" s="33"/>
    </row>
    <row r="587" spans="10:10" ht="15.75" customHeight="1">
      <c r="J587" s="33"/>
    </row>
    <row r="588" spans="10:10" ht="15.75" customHeight="1">
      <c r="J588" s="33"/>
    </row>
    <row r="589" spans="10:10" ht="15.75" customHeight="1">
      <c r="J589" s="33"/>
    </row>
    <row r="590" spans="10:10" ht="15.75" customHeight="1">
      <c r="J590" s="33"/>
    </row>
    <row r="591" spans="10:10" ht="15.75" customHeight="1">
      <c r="J591" s="33"/>
    </row>
    <row r="592" spans="10:10" ht="15.75" customHeight="1">
      <c r="J592" s="33"/>
    </row>
    <row r="593" spans="10:10" ht="15.75" customHeight="1">
      <c r="J593" s="33"/>
    </row>
    <row r="594" spans="10:10" ht="15.75" customHeight="1">
      <c r="J594" s="33"/>
    </row>
    <row r="595" spans="10:10" ht="15.75" customHeight="1">
      <c r="J595" s="33"/>
    </row>
    <row r="596" spans="10:10" ht="15.75" customHeight="1">
      <c r="J596" s="33"/>
    </row>
    <row r="597" spans="10:10" ht="15.75" customHeight="1">
      <c r="J597" s="33"/>
    </row>
    <row r="598" spans="10:10" ht="15.75" customHeight="1">
      <c r="J598" s="33"/>
    </row>
    <row r="599" spans="10:10" ht="15.75" customHeight="1">
      <c r="J599" s="33"/>
    </row>
    <row r="600" spans="10:10" ht="15.75" customHeight="1">
      <c r="J600" s="33"/>
    </row>
    <row r="601" spans="10:10" ht="15.75" customHeight="1">
      <c r="J601" s="33"/>
    </row>
    <row r="602" spans="10:10" ht="15.75" customHeight="1">
      <c r="J602" s="33"/>
    </row>
    <row r="603" spans="10:10" ht="15.75" customHeight="1">
      <c r="J603" s="33"/>
    </row>
    <row r="604" spans="10:10" ht="15.75" customHeight="1">
      <c r="J604" s="33"/>
    </row>
    <row r="605" spans="10:10" ht="15.75" customHeight="1">
      <c r="J605" s="33"/>
    </row>
    <row r="606" spans="10:10" ht="15.75" customHeight="1">
      <c r="J606" s="33"/>
    </row>
    <row r="607" spans="10:10" ht="15.75" customHeight="1">
      <c r="J607" s="33"/>
    </row>
    <row r="608" spans="10:10" ht="15.75" customHeight="1">
      <c r="J608" s="33"/>
    </row>
    <row r="609" spans="10:10" ht="15.75" customHeight="1">
      <c r="J609" s="33"/>
    </row>
    <row r="610" spans="10:10" ht="15.75" customHeight="1">
      <c r="J610" s="33"/>
    </row>
    <row r="611" spans="10:10" ht="15.75" customHeight="1">
      <c r="J611" s="33"/>
    </row>
    <row r="612" spans="10:10" ht="15.75" customHeight="1">
      <c r="J612" s="33"/>
    </row>
    <row r="613" spans="10:10" ht="15.75" customHeight="1">
      <c r="J613" s="33"/>
    </row>
    <row r="614" spans="10:10" ht="15.75" customHeight="1">
      <c r="J614" s="33"/>
    </row>
    <row r="615" spans="10:10" ht="15.75" customHeight="1">
      <c r="J615" s="33"/>
    </row>
    <row r="616" spans="10:10" ht="15.75" customHeight="1">
      <c r="J616" s="33"/>
    </row>
    <row r="617" spans="10:10" ht="15.75" customHeight="1">
      <c r="J617" s="33"/>
    </row>
    <row r="618" spans="10:10" ht="15.75" customHeight="1">
      <c r="J618" s="33"/>
    </row>
    <row r="619" spans="10:10" ht="15.75" customHeight="1">
      <c r="J619" s="33"/>
    </row>
    <row r="620" spans="10:10" ht="15.75" customHeight="1">
      <c r="J620" s="33"/>
    </row>
    <row r="621" spans="10:10" ht="15.75" customHeight="1">
      <c r="J621" s="33"/>
    </row>
    <row r="622" spans="10:10" ht="15.75" customHeight="1">
      <c r="J622" s="33"/>
    </row>
    <row r="623" spans="10:10" ht="15.75" customHeight="1">
      <c r="J623" s="33"/>
    </row>
    <row r="624" spans="10:10" ht="15.75" customHeight="1">
      <c r="J624" s="33"/>
    </row>
    <row r="625" spans="10:10" ht="15.75" customHeight="1">
      <c r="J625" s="33"/>
    </row>
    <row r="626" spans="10:10" ht="15.75" customHeight="1">
      <c r="J626" s="33"/>
    </row>
    <row r="627" spans="10:10" ht="15.75" customHeight="1">
      <c r="J627" s="33"/>
    </row>
    <row r="628" spans="10:10" ht="15.75" customHeight="1">
      <c r="J628" s="33"/>
    </row>
    <row r="629" spans="10:10" ht="15.75" customHeight="1">
      <c r="J629" s="33"/>
    </row>
    <row r="630" spans="10:10" ht="15.75" customHeight="1">
      <c r="J630" s="33"/>
    </row>
    <row r="631" spans="10:10" ht="15.75" customHeight="1">
      <c r="J631" s="33"/>
    </row>
    <row r="632" spans="10:10" ht="15.75" customHeight="1">
      <c r="J632" s="33"/>
    </row>
    <row r="633" spans="10:10" ht="15.75" customHeight="1">
      <c r="J633" s="33"/>
    </row>
    <row r="634" spans="10:10" ht="15.75" customHeight="1">
      <c r="J634" s="33"/>
    </row>
    <row r="635" spans="10:10" ht="15.75" customHeight="1">
      <c r="J635" s="33"/>
    </row>
    <row r="636" spans="10:10" ht="15.75" customHeight="1">
      <c r="J636" s="33"/>
    </row>
    <row r="637" spans="10:10" ht="15.75" customHeight="1">
      <c r="J637" s="33"/>
    </row>
    <row r="638" spans="10:10" ht="15.75" customHeight="1">
      <c r="J638" s="33"/>
    </row>
    <row r="639" spans="10:10" ht="15.75" customHeight="1">
      <c r="J639" s="33"/>
    </row>
    <row r="640" spans="10:10" ht="15.75" customHeight="1">
      <c r="J640" s="33"/>
    </row>
    <row r="641" spans="10:10" ht="15.75" customHeight="1">
      <c r="J641" s="33"/>
    </row>
    <row r="642" spans="10:10" ht="15.75" customHeight="1">
      <c r="J642" s="33"/>
    </row>
    <row r="643" spans="10:10" ht="15.75" customHeight="1">
      <c r="J643" s="33"/>
    </row>
    <row r="644" spans="10:10" ht="15.75" customHeight="1">
      <c r="J644" s="33"/>
    </row>
    <row r="645" spans="10:10" ht="15.75" customHeight="1">
      <c r="J645" s="33"/>
    </row>
    <row r="646" spans="10:10" ht="15.75" customHeight="1">
      <c r="J646" s="33"/>
    </row>
    <row r="647" spans="10:10" ht="15.75" customHeight="1">
      <c r="J647" s="33"/>
    </row>
    <row r="648" spans="10:10" ht="15.75" customHeight="1">
      <c r="J648" s="33"/>
    </row>
    <row r="649" spans="10:10" ht="15.75" customHeight="1">
      <c r="J649" s="33"/>
    </row>
    <row r="650" spans="10:10" ht="15.75" customHeight="1">
      <c r="J650" s="33"/>
    </row>
    <row r="651" spans="10:10" ht="15.75" customHeight="1">
      <c r="J651" s="33"/>
    </row>
    <row r="652" spans="10:10" ht="15.75" customHeight="1">
      <c r="J652" s="33"/>
    </row>
    <row r="653" spans="10:10" ht="15.75" customHeight="1">
      <c r="J653" s="33"/>
    </row>
    <row r="654" spans="10:10" ht="15.75" customHeight="1">
      <c r="J654" s="33"/>
    </row>
    <row r="655" spans="10:10" ht="15.75" customHeight="1">
      <c r="J655" s="33"/>
    </row>
    <row r="656" spans="10:10" ht="15.75" customHeight="1">
      <c r="J656" s="33"/>
    </row>
    <row r="657" spans="10:10" ht="15.75" customHeight="1">
      <c r="J657" s="33"/>
    </row>
    <row r="658" spans="10:10" ht="15.75" customHeight="1">
      <c r="J658" s="33"/>
    </row>
    <row r="659" spans="10:10" ht="15.75" customHeight="1">
      <c r="J659" s="33"/>
    </row>
    <row r="660" spans="10:10" ht="15.75" customHeight="1">
      <c r="J660" s="33"/>
    </row>
    <row r="661" spans="10:10" ht="15.75" customHeight="1">
      <c r="J661" s="33"/>
    </row>
    <row r="662" spans="10:10" ht="15.75" customHeight="1">
      <c r="J662" s="33"/>
    </row>
    <row r="663" spans="10:10" ht="15.75" customHeight="1">
      <c r="J663" s="33"/>
    </row>
    <row r="664" spans="10:10" ht="15.75" customHeight="1">
      <c r="J664" s="33"/>
    </row>
    <row r="665" spans="10:10" ht="15.75" customHeight="1">
      <c r="J665" s="33"/>
    </row>
    <row r="666" spans="10:10" ht="15.75" customHeight="1">
      <c r="J666" s="33"/>
    </row>
    <row r="667" spans="10:10" ht="15.75" customHeight="1">
      <c r="J667" s="33"/>
    </row>
    <row r="668" spans="10:10" ht="15.75" customHeight="1">
      <c r="J668" s="33"/>
    </row>
    <row r="669" spans="10:10" ht="15.75" customHeight="1">
      <c r="J669" s="33"/>
    </row>
    <row r="670" spans="10:10" ht="15.75" customHeight="1">
      <c r="J670" s="33"/>
    </row>
    <row r="671" spans="10:10" ht="15.75" customHeight="1">
      <c r="J671" s="33"/>
    </row>
    <row r="672" spans="10:10" ht="15.75" customHeight="1">
      <c r="J672" s="33"/>
    </row>
    <row r="673" spans="10:10" ht="15.75" customHeight="1">
      <c r="J673" s="33"/>
    </row>
    <row r="674" spans="10:10" ht="15.75" customHeight="1">
      <c r="J674" s="33"/>
    </row>
    <row r="675" spans="10:10" ht="15.75" customHeight="1">
      <c r="J675" s="33"/>
    </row>
    <row r="676" spans="10:10" ht="15.75" customHeight="1">
      <c r="J676" s="33"/>
    </row>
    <row r="677" spans="10:10" ht="15.75" customHeight="1">
      <c r="J677" s="33"/>
    </row>
    <row r="678" spans="10:10" ht="15.75" customHeight="1">
      <c r="J678" s="33"/>
    </row>
    <row r="679" spans="10:10" ht="15.75" customHeight="1">
      <c r="J679" s="33"/>
    </row>
    <row r="680" spans="10:10" ht="15.75" customHeight="1">
      <c r="J680" s="33"/>
    </row>
    <row r="681" spans="10:10" ht="15.75" customHeight="1">
      <c r="J681" s="33"/>
    </row>
    <row r="682" spans="10:10" ht="15.75" customHeight="1">
      <c r="J682" s="33"/>
    </row>
    <row r="683" spans="10:10" ht="15.75" customHeight="1">
      <c r="J683" s="33"/>
    </row>
    <row r="684" spans="10:10" ht="15.75" customHeight="1">
      <c r="J684" s="33"/>
    </row>
    <row r="685" spans="10:10" ht="15.75" customHeight="1">
      <c r="J685" s="33"/>
    </row>
    <row r="686" spans="10:10" ht="15.75" customHeight="1">
      <c r="J686" s="33"/>
    </row>
    <row r="687" spans="10:10" ht="15.75" customHeight="1">
      <c r="J687" s="33"/>
    </row>
    <row r="688" spans="10:10" ht="15.75" customHeight="1">
      <c r="J688" s="33"/>
    </row>
    <row r="689" spans="10:10" ht="15.75" customHeight="1">
      <c r="J689" s="33"/>
    </row>
    <row r="690" spans="10:10" ht="15.75" customHeight="1">
      <c r="J690" s="33"/>
    </row>
    <row r="691" spans="10:10" ht="15.75" customHeight="1">
      <c r="J691" s="33"/>
    </row>
    <row r="692" spans="10:10" ht="15.75" customHeight="1">
      <c r="J692" s="33"/>
    </row>
    <row r="693" spans="10:10" ht="15.75" customHeight="1">
      <c r="J693" s="33"/>
    </row>
    <row r="694" spans="10:10" ht="15.75" customHeight="1">
      <c r="J694" s="33"/>
    </row>
    <row r="695" spans="10:10" ht="15.75" customHeight="1">
      <c r="J695" s="33"/>
    </row>
    <row r="696" spans="10:10" ht="15.75" customHeight="1">
      <c r="J696" s="33"/>
    </row>
    <row r="697" spans="10:10" ht="15.75" customHeight="1">
      <c r="J697" s="33"/>
    </row>
    <row r="698" spans="10:10" ht="15.75" customHeight="1">
      <c r="J698" s="33"/>
    </row>
    <row r="699" spans="10:10" ht="15.75" customHeight="1">
      <c r="J699" s="33"/>
    </row>
    <row r="700" spans="10:10" ht="15.75" customHeight="1">
      <c r="J700" s="33"/>
    </row>
    <row r="701" spans="10:10" ht="15.75" customHeight="1">
      <c r="J701" s="33"/>
    </row>
    <row r="702" spans="10:10" ht="15.75" customHeight="1">
      <c r="J702" s="33"/>
    </row>
    <row r="703" spans="10:10" ht="15.75" customHeight="1">
      <c r="J703" s="33"/>
    </row>
    <row r="704" spans="10:10" ht="15.75" customHeight="1">
      <c r="J704" s="33"/>
    </row>
    <row r="705" spans="10:10" ht="15.75" customHeight="1">
      <c r="J705" s="33"/>
    </row>
    <row r="706" spans="10:10" ht="15.75" customHeight="1">
      <c r="J706" s="33"/>
    </row>
    <row r="707" spans="10:10" ht="15.75" customHeight="1">
      <c r="J707" s="33"/>
    </row>
    <row r="708" spans="10:10" ht="15.75" customHeight="1">
      <c r="J708" s="33"/>
    </row>
    <row r="709" spans="10:10" ht="15.75" customHeight="1">
      <c r="J709" s="33"/>
    </row>
    <row r="710" spans="10:10" ht="15.75" customHeight="1">
      <c r="J710" s="33"/>
    </row>
    <row r="711" spans="10:10" ht="15.75" customHeight="1">
      <c r="J711" s="33"/>
    </row>
    <row r="712" spans="10:10" ht="15.75" customHeight="1">
      <c r="J712" s="33"/>
    </row>
    <row r="713" spans="10:10" ht="15.75" customHeight="1">
      <c r="J713" s="33"/>
    </row>
    <row r="714" spans="10:10" ht="15.75" customHeight="1">
      <c r="J714" s="33"/>
    </row>
    <row r="715" spans="10:10" ht="15.75" customHeight="1">
      <c r="J715" s="33"/>
    </row>
    <row r="716" spans="10:10" ht="15.75" customHeight="1">
      <c r="J716" s="33"/>
    </row>
    <row r="717" spans="10:10" ht="15.75" customHeight="1">
      <c r="J717" s="33"/>
    </row>
    <row r="718" spans="10:10" ht="15.75" customHeight="1">
      <c r="J718" s="33"/>
    </row>
    <row r="719" spans="10:10" ht="15.75" customHeight="1">
      <c r="J719" s="33"/>
    </row>
    <row r="720" spans="10:10" ht="15.75" customHeight="1">
      <c r="J720" s="33"/>
    </row>
    <row r="721" spans="10:10" ht="15.75" customHeight="1">
      <c r="J721" s="33"/>
    </row>
    <row r="722" spans="10:10" ht="15.75" customHeight="1">
      <c r="J722" s="33"/>
    </row>
    <row r="723" spans="10:10" ht="15.75" customHeight="1">
      <c r="J723" s="33"/>
    </row>
    <row r="724" spans="10:10" ht="15.75" customHeight="1">
      <c r="J724" s="33"/>
    </row>
    <row r="725" spans="10:10" ht="15.75" customHeight="1">
      <c r="J725" s="33"/>
    </row>
    <row r="726" spans="10:10" ht="15.75" customHeight="1">
      <c r="J726" s="33"/>
    </row>
    <row r="727" spans="10:10" ht="15.75" customHeight="1">
      <c r="J727" s="33"/>
    </row>
    <row r="728" spans="10:10" ht="15.75" customHeight="1">
      <c r="J728" s="33"/>
    </row>
    <row r="729" spans="10:10" ht="15.75" customHeight="1">
      <c r="J729" s="33"/>
    </row>
    <row r="730" spans="10:10" ht="15.75" customHeight="1">
      <c r="J730" s="33"/>
    </row>
    <row r="731" spans="10:10" ht="15.75" customHeight="1">
      <c r="J731" s="33"/>
    </row>
    <row r="732" spans="10:10" ht="15.75" customHeight="1">
      <c r="J732" s="33"/>
    </row>
    <row r="733" spans="10:10" ht="15.75" customHeight="1">
      <c r="J733" s="33"/>
    </row>
    <row r="734" spans="10:10" ht="15.75" customHeight="1">
      <c r="J734" s="33"/>
    </row>
    <row r="735" spans="10:10" ht="15.75" customHeight="1">
      <c r="J735" s="33"/>
    </row>
    <row r="736" spans="10:10" ht="15.75" customHeight="1">
      <c r="J736" s="33"/>
    </row>
    <row r="737" spans="10:10" ht="15.75" customHeight="1">
      <c r="J737" s="33"/>
    </row>
    <row r="738" spans="10:10" ht="15.75" customHeight="1">
      <c r="J738" s="33"/>
    </row>
    <row r="739" spans="10:10" ht="15.75" customHeight="1">
      <c r="J739" s="33"/>
    </row>
    <row r="740" spans="10:10" ht="15.75" customHeight="1">
      <c r="J740" s="33"/>
    </row>
    <row r="741" spans="10:10" ht="15.75" customHeight="1">
      <c r="J741" s="33"/>
    </row>
    <row r="742" spans="10:10" ht="15.75" customHeight="1">
      <c r="J742" s="33"/>
    </row>
    <row r="743" spans="10:10" ht="15.75" customHeight="1">
      <c r="J743" s="33"/>
    </row>
    <row r="744" spans="10:10" ht="15.75" customHeight="1">
      <c r="J744" s="33"/>
    </row>
    <row r="745" spans="10:10" ht="15.75" customHeight="1">
      <c r="J745" s="33"/>
    </row>
    <row r="746" spans="10:10" ht="15.75" customHeight="1">
      <c r="J746" s="33"/>
    </row>
    <row r="747" spans="10:10" ht="15.75" customHeight="1">
      <c r="J747" s="33"/>
    </row>
    <row r="748" spans="10:10" ht="15.75" customHeight="1">
      <c r="J748" s="33"/>
    </row>
    <row r="749" spans="10:10" ht="15.75" customHeight="1">
      <c r="J749" s="33"/>
    </row>
    <row r="750" spans="10:10" ht="15.75" customHeight="1">
      <c r="J750" s="33"/>
    </row>
    <row r="751" spans="10:10" ht="15.75" customHeight="1">
      <c r="J751" s="33"/>
    </row>
    <row r="752" spans="10:10" ht="15.75" customHeight="1">
      <c r="J752" s="33"/>
    </row>
    <row r="753" spans="10:10" ht="15.75" customHeight="1">
      <c r="J753" s="33"/>
    </row>
    <row r="754" spans="10:10" ht="15.75" customHeight="1">
      <c r="J754" s="33"/>
    </row>
    <row r="755" spans="10:10" ht="15.75" customHeight="1">
      <c r="J755" s="33"/>
    </row>
    <row r="756" spans="10:10" ht="15.75" customHeight="1">
      <c r="J756" s="33"/>
    </row>
    <row r="757" spans="10:10" ht="15.75" customHeight="1">
      <c r="J757" s="33"/>
    </row>
    <row r="758" spans="10:10" ht="15.75" customHeight="1">
      <c r="J758" s="33"/>
    </row>
    <row r="759" spans="10:10" ht="15.75" customHeight="1">
      <c r="J759" s="33"/>
    </row>
    <row r="760" spans="10:10" ht="15.75" customHeight="1">
      <c r="J760" s="33"/>
    </row>
    <row r="761" spans="10:10" ht="15.75" customHeight="1">
      <c r="J761" s="33"/>
    </row>
    <row r="762" spans="10:10" ht="15.75" customHeight="1">
      <c r="J762" s="33"/>
    </row>
    <row r="763" spans="10:10" ht="15.75" customHeight="1">
      <c r="J763" s="33"/>
    </row>
    <row r="764" spans="10:10" ht="15.75" customHeight="1">
      <c r="J764" s="33"/>
    </row>
    <row r="765" spans="10:10" ht="15.75" customHeight="1">
      <c r="J765" s="33"/>
    </row>
    <row r="766" spans="10:10" ht="15.75" customHeight="1">
      <c r="J766" s="33"/>
    </row>
    <row r="767" spans="10:10" ht="15.75" customHeight="1">
      <c r="J767" s="33"/>
    </row>
    <row r="768" spans="10:10" ht="15.75" customHeight="1">
      <c r="J768" s="33"/>
    </row>
    <row r="769" spans="10:10" ht="15.75" customHeight="1">
      <c r="J769" s="33"/>
    </row>
    <row r="770" spans="10:10" ht="15.75" customHeight="1">
      <c r="J770" s="33"/>
    </row>
    <row r="771" spans="10:10" ht="15.75" customHeight="1">
      <c r="J771" s="33"/>
    </row>
    <row r="772" spans="10:10" ht="15.75" customHeight="1">
      <c r="J772" s="33"/>
    </row>
    <row r="773" spans="10:10" ht="15.75" customHeight="1">
      <c r="J773" s="33"/>
    </row>
    <row r="774" spans="10:10" ht="15.75" customHeight="1">
      <c r="J774" s="33"/>
    </row>
    <row r="775" spans="10:10" ht="15.75" customHeight="1">
      <c r="J775" s="33"/>
    </row>
    <row r="776" spans="10:10" ht="15.75" customHeight="1">
      <c r="J776" s="33"/>
    </row>
    <row r="777" spans="10:10" ht="15.75" customHeight="1">
      <c r="J777" s="33"/>
    </row>
    <row r="778" spans="10:10" ht="15.75" customHeight="1">
      <c r="J778" s="33"/>
    </row>
    <row r="779" spans="10:10" ht="15.75" customHeight="1">
      <c r="J779" s="33"/>
    </row>
    <row r="780" spans="10:10" ht="15.75" customHeight="1">
      <c r="J780" s="33"/>
    </row>
    <row r="781" spans="10:10" ht="15.75" customHeight="1">
      <c r="J781" s="33"/>
    </row>
    <row r="782" spans="10:10" ht="15.75" customHeight="1">
      <c r="J782" s="33"/>
    </row>
    <row r="783" spans="10:10" ht="15.75" customHeight="1">
      <c r="J783" s="33"/>
    </row>
    <row r="784" spans="10:10" ht="15.75" customHeight="1">
      <c r="J784" s="33"/>
    </row>
    <row r="785" spans="10:10" ht="15.75" customHeight="1">
      <c r="J785" s="33"/>
    </row>
    <row r="786" spans="10:10" ht="15.75" customHeight="1">
      <c r="J786" s="33"/>
    </row>
    <row r="787" spans="10:10" ht="15.75" customHeight="1">
      <c r="J787" s="33"/>
    </row>
    <row r="788" spans="10:10" ht="15.75" customHeight="1">
      <c r="J788" s="33"/>
    </row>
    <row r="789" spans="10:10" ht="15.75" customHeight="1">
      <c r="J789" s="33"/>
    </row>
    <row r="790" spans="10:10" ht="15.75" customHeight="1">
      <c r="J790" s="33"/>
    </row>
    <row r="791" spans="10:10" ht="15.75" customHeight="1">
      <c r="J791" s="33"/>
    </row>
    <row r="792" spans="10:10" ht="15.75" customHeight="1">
      <c r="J792" s="33"/>
    </row>
    <row r="793" spans="10:10" ht="15.75" customHeight="1">
      <c r="J793" s="33"/>
    </row>
    <row r="794" spans="10:10" ht="15.75" customHeight="1">
      <c r="J794" s="33"/>
    </row>
    <row r="795" spans="10:10" ht="15.75" customHeight="1">
      <c r="J795" s="33"/>
    </row>
    <row r="796" spans="10:10" ht="15.75" customHeight="1">
      <c r="J796" s="33"/>
    </row>
    <row r="797" spans="10:10" ht="15.75" customHeight="1">
      <c r="J797" s="33"/>
    </row>
    <row r="798" spans="10:10" ht="15.75" customHeight="1">
      <c r="J798" s="33"/>
    </row>
    <row r="799" spans="10:10" ht="15.75" customHeight="1">
      <c r="J799" s="33"/>
    </row>
    <row r="800" spans="10:10" ht="15.75" customHeight="1">
      <c r="J800" s="33"/>
    </row>
    <row r="801" spans="10:10" ht="15.75" customHeight="1">
      <c r="J801" s="33"/>
    </row>
    <row r="802" spans="10:10" ht="15.75" customHeight="1">
      <c r="J802" s="33"/>
    </row>
    <row r="803" spans="10:10" ht="15.75" customHeight="1">
      <c r="J803" s="33"/>
    </row>
    <row r="804" spans="10:10" ht="15.75" customHeight="1">
      <c r="J804" s="33"/>
    </row>
    <row r="805" spans="10:10" ht="15.75" customHeight="1">
      <c r="J805" s="33"/>
    </row>
    <row r="806" spans="10:10" ht="15.75" customHeight="1">
      <c r="J806" s="33"/>
    </row>
    <row r="807" spans="10:10" ht="15.75" customHeight="1">
      <c r="J807" s="33"/>
    </row>
    <row r="808" spans="10:10" ht="15.75" customHeight="1">
      <c r="J808" s="33"/>
    </row>
    <row r="809" spans="10:10" ht="15.75" customHeight="1">
      <c r="J809" s="33"/>
    </row>
    <row r="810" spans="10:10" ht="15.75" customHeight="1">
      <c r="J810" s="33"/>
    </row>
    <row r="811" spans="10:10" ht="15.75" customHeight="1">
      <c r="J811" s="33"/>
    </row>
    <row r="812" spans="10:10" ht="15.75" customHeight="1">
      <c r="J812" s="33"/>
    </row>
    <row r="813" spans="10:10" ht="15.75" customHeight="1">
      <c r="J813" s="33"/>
    </row>
    <row r="814" spans="10:10" ht="15.75" customHeight="1">
      <c r="J814" s="33"/>
    </row>
    <row r="815" spans="10:10" ht="15.75" customHeight="1">
      <c r="J815" s="33"/>
    </row>
    <row r="816" spans="10:10" ht="15.75" customHeight="1">
      <c r="J816" s="33"/>
    </row>
    <row r="817" spans="10:10" ht="15.75" customHeight="1">
      <c r="J817" s="33"/>
    </row>
    <row r="818" spans="10:10" ht="15.75" customHeight="1">
      <c r="J818" s="33"/>
    </row>
    <row r="819" spans="10:10" ht="15.75" customHeight="1">
      <c r="J819" s="33"/>
    </row>
    <row r="820" spans="10:10" ht="15.75" customHeight="1">
      <c r="J820" s="33"/>
    </row>
    <row r="821" spans="10:10" ht="15.75" customHeight="1">
      <c r="J821" s="33"/>
    </row>
    <row r="822" spans="10:10" ht="15.75" customHeight="1">
      <c r="J822" s="33"/>
    </row>
    <row r="823" spans="10:10" ht="15.75" customHeight="1">
      <c r="J823" s="33"/>
    </row>
    <row r="824" spans="10:10" ht="15.75" customHeight="1">
      <c r="J824" s="33"/>
    </row>
    <row r="825" spans="10:10" ht="15.75" customHeight="1">
      <c r="J825" s="33"/>
    </row>
    <row r="826" spans="10:10" ht="15.75" customHeight="1">
      <c r="J826" s="33"/>
    </row>
    <row r="827" spans="10:10" ht="15.75" customHeight="1">
      <c r="J827" s="33"/>
    </row>
    <row r="828" spans="10:10" ht="15.75" customHeight="1">
      <c r="J828" s="33"/>
    </row>
    <row r="829" spans="10:10" ht="15.75" customHeight="1">
      <c r="J829" s="33"/>
    </row>
    <row r="830" spans="10:10" ht="15.75" customHeight="1">
      <c r="J830" s="33"/>
    </row>
    <row r="831" spans="10:10" ht="15.75" customHeight="1">
      <c r="J831" s="33"/>
    </row>
    <row r="832" spans="10:10" ht="15.75" customHeight="1">
      <c r="J832" s="33"/>
    </row>
    <row r="833" spans="10:10" ht="15.75" customHeight="1">
      <c r="J833" s="33"/>
    </row>
    <row r="834" spans="10:10" ht="15.75" customHeight="1">
      <c r="J834" s="33"/>
    </row>
    <row r="835" spans="10:10" ht="15.75" customHeight="1">
      <c r="J835" s="33"/>
    </row>
    <row r="836" spans="10:10" ht="15.75" customHeight="1">
      <c r="J836" s="33"/>
    </row>
    <row r="837" spans="10:10" ht="15.75" customHeight="1">
      <c r="J837" s="33"/>
    </row>
    <row r="838" spans="10:10" ht="15.75" customHeight="1">
      <c r="J838" s="33"/>
    </row>
    <row r="839" spans="10:10" ht="15.75" customHeight="1">
      <c r="J839" s="33"/>
    </row>
    <row r="840" spans="10:10" ht="15.75" customHeight="1">
      <c r="J840" s="33"/>
    </row>
    <row r="841" spans="10:10" ht="15.75" customHeight="1">
      <c r="J841" s="33"/>
    </row>
    <row r="842" spans="10:10" ht="15.75" customHeight="1">
      <c r="J842" s="33"/>
    </row>
    <row r="843" spans="10:10" ht="15.75" customHeight="1">
      <c r="J843" s="33"/>
    </row>
    <row r="844" spans="10:10" ht="15.75" customHeight="1">
      <c r="J844" s="33"/>
    </row>
    <row r="845" spans="10:10" ht="15.75" customHeight="1">
      <c r="J845" s="33"/>
    </row>
    <row r="846" spans="10:10" ht="15.75" customHeight="1">
      <c r="J846" s="33"/>
    </row>
    <row r="847" spans="10:10" ht="15.75" customHeight="1">
      <c r="J847" s="33"/>
    </row>
    <row r="848" spans="10:10" ht="15.75" customHeight="1">
      <c r="J848" s="33"/>
    </row>
    <row r="849" spans="10:10" ht="15.75" customHeight="1">
      <c r="J849" s="33"/>
    </row>
    <row r="850" spans="10:10" ht="15.75" customHeight="1">
      <c r="J850" s="33"/>
    </row>
    <row r="851" spans="10:10" ht="15.75" customHeight="1">
      <c r="J851" s="33"/>
    </row>
    <row r="852" spans="10:10" ht="15.75" customHeight="1">
      <c r="J852" s="33"/>
    </row>
    <row r="853" spans="10:10" ht="15.75" customHeight="1">
      <c r="J853" s="33"/>
    </row>
    <row r="854" spans="10:10" ht="15.75" customHeight="1">
      <c r="J854" s="33"/>
    </row>
    <row r="855" spans="10:10" ht="15.75" customHeight="1">
      <c r="J855" s="33"/>
    </row>
    <row r="856" spans="10:10" ht="15.75" customHeight="1">
      <c r="J856" s="33"/>
    </row>
    <row r="857" spans="10:10" ht="15.75" customHeight="1">
      <c r="J857" s="33"/>
    </row>
    <row r="858" spans="10:10" ht="15.75" customHeight="1">
      <c r="J858" s="33"/>
    </row>
    <row r="859" spans="10:10" ht="15.75" customHeight="1">
      <c r="J859" s="33"/>
    </row>
    <row r="860" spans="10:10" ht="15.75" customHeight="1">
      <c r="J860" s="33"/>
    </row>
    <row r="861" spans="10:10" ht="15.75" customHeight="1">
      <c r="J861" s="33"/>
    </row>
    <row r="862" spans="10:10" ht="15.75" customHeight="1">
      <c r="J862" s="33"/>
    </row>
    <row r="863" spans="10:10" ht="15.75" customHeight="1">
      <c r="J863" s="33"/>
    </row>
    <row r="864" spans="10:10" ht="15.75" customHeight="1">
      <c r="J864" s="33"/>
    </row>
    <row r="865" spans="10:10" ht="15.75" customHeight="1">
      <c r="J865" s="33"/>
    </row>
    <row r="866" spans="10:10" ht="15.75" customHeight="1">
      <c r="J866" s="33"/>
    </row>
    <row r="867" spans="10:10" ht="15.75" customHeight="1">
      <c r="J867" s="33"/>
    </row>
    <row r="868" spans="10:10" ht="15.75" customHeight="1">
      <c r="J868" s="33"/>
    </row>
    <row r="869" spans="10:10" ht="15.75" customHeight="1">
      <c r="J869" s="33"/>
    </row>
    <row r="870" spans="10:10" ht="15.75" customHeight="1">
      <c r="J870" s="33"/>
    </row>
    <row r="871" spans="10:10" ht="15.75" customHeight="1">
      <c r="J871" s="33"/>
    </row>
    <row r="872" spans="10:10" ht="15.75" customHeight="1">
      <c r="J872" s="33"/>
    </row>
    <row r="873" spans="10:10" ht="15.75" customHeight="1">
      <c r="J873" s="33"/>
    </row>
    <row r="874" spans="10:10" ht="15.75" customHeight="1">
      <c r="J874" s="33"/>
    </row>
    <row r="875" spans="10:10" ht="15.75" customHeight="1">
      <c r="J875" s="33"/>
    </row>
    <row r="876" spans="10:10" ht="15.75" customHeight="1">
      <c r="J876" s="33"/>
    </row>
    <row r="877" spans="10:10" ht="15.75" customHeight="1">
      <c r="J877" s="33"/>
    </row>
    <row r="878" spans="10:10" ht="15.75" customHeight="1">
      <c r="J878" s="33"/>
    </row>
    <row r="879" spans="10:10" ht="15.75" customHeight="1">
      <c r="J879" s="33"/>
    </row>
    <row r="880" spans="10:10" ht="15.75" customHeight="1">
      <c r="J880" s="33"/>
    </row>
    <row r="881" spans="10:10" ht="15.75" customHeight="1">
      <c r="J881" s="33"/>
    </row>
    <row r="882" spans="10:10" ht="15.75" customHeight="1">
      <c r="J882" s="33"/>
    </row>
    <row r="883" spans="10:10" ht="15.75" customHeight="1">
      <c r="J883" s="33"/>
    </row>
    <row r="884" spans="10:10" ht="15.75" customHeight="1">
      <c r="J884" s="33"/>
    </row>
    <row r="885" spans="10:10" ht="15.75" customHeight="1">
      <c r="J885" s="33"/>
    </row>
    <row r="886" spans="10:10" ht="15.75" customHeight="1">
      <c r="J886" s="33"/>
    </row>
    <row r="887" spans="10:10" ht="15.75" customHeight="1">
      <c r="J887" s="33"/>
    </row>
    <row r="888" spans="10:10" ht="15.75" customHeight="1">
      <c r="J888" s="33"/>
    </row>
    <row r="889" spans="10:10" ht="15.75" customHeight="1">
      <c r="J889" s="33"/>
    </row>
    <row r="890" spans="10:10" ht="15.75" customHeight="1">
      <c r="J890" s="33"/>
    </row>
    <row r="891" spans="10:10" ht="15.75" customHeight="1">
      <c r="J891" s="33"/>
    </row>
    <row r="892" spans="10:10" ht="15.75" customHeight="1">
      <c r="J892" s="33"/>
    </row>
    <row r="893" spans="10:10" ht="15.75" customHeight="1">
      <c r="J893" s="33"/>
    </row>
    <row r="894" spans="10:10" ht="15.75" customHeight="1">
      <c r="J894" s="33"/>
    </row>
    <row r="895" spans="10:10" ht="15.75" customHeight="1">
      <c r="J895" s="33"/>
    </row>
    <row r="896" spans="10:10" ht="15.75" customHeight="1">
      <c r="J896" s="33"/>
    </row>
    <row r="897" spans="10:10" ht="15.75" customHeight="1">
      <c r="J897" s="33"/>
    </row>
    <row r="898" spans="10:10" ht="15.75" customHeight="1">
      <c r="J898" s="33"/>
    </row>
    <row r="899" spans="10:10" ht="15.75" customHeight="1">
      <c r="J899" s="33"/>
    </row>
    <row r="900" spans="10:10" ht="15.75" customHeight="1">
      <c r="J900" s="33"/>
    </row>
    <row r="901" spans="10:10" ht="15.75" customHeight="1">
      <c r="J901" s="33"/>
    </row>
    <row r="902" spans="10:10" ht="15.75" customHeight="1">
      <c r="J902" s="33"/>
    </row>
    <row r="903" spans="10:10" ht="15.75" customHeight="1">
      <c r="J903" s="33"/>
    </row>
    <row r="904" spans="10:10" ht="15.75" customHeight="1">
      <c r="J904" s="33"/>
    </row>
    <row r="905" spans="10:10" ht="15.75" customHeight="1">
      <c r="J905" s="33"/>
    </row>
    <row r="906" spans="10:10" ht="15.75" customHeight="1">
      <c r="J906" s="33"/>
    </row>
    <row r="907" spans="10:10" ht="15.75" customHeight="1">
      <c r="J907" s="33"/>
    </row>
    <row r="908" spans="10:10" ht="15.75" customHeight="1">
      <c r="J908" s="33"/>
    </row>
    <row r="909" spans="10:10" ht="15.75" customHeight="1">
      <c r="J909" s="33"/>
    </row>
    <row r="910" spans="10:10" ht="15.75" customHeight="1">
      <c r="J910" s="33"/>
    </row>
    <row r="911" spans="10:10" ht="15.75" customHeight="1">
      <c r="J911" s="33"/>
    </row>
    <row r="912" spans="10:10" ht="15.75" customHeight="1">
      <c r="J912" s="33"/>
    </row>
    <row r="913" spans="10:10" ht="15.75" customHeight="1">
      <c r="J913" s="33"/>
    </row>
    <row r="914" spans="10:10" ht="15.75" customHeight="1">
      <c r="J914" s="33"/>
    </row>
    <row r="915" spans="10:10" ht="15.75" customHeight="1">
      <c r="J915" s="33"/>
    </row>
    <row r="916" spans="10:10" ht="15.75" customHeight="1">
      <c r="J916" s="33"/>
    </row>
    <row r="917" spans="10:10" ht="15.75" customHeight="1">
      <c r="J917" s="33"/>
    </row>
    <row r="918" spans="10:10" ht="15.75" customHeight="1">
      <c r="J918" s="33"/>
    </row>
    <row r="919" spans="10:10" ht="15.75" customHeight="1">
      <c r="J919" s="33"/>
    </row>
    <row r="920" spans="10:10" ht="15.75" customHeight="1">
      <c r="J920" s="33"/>
    </row>
    <row r="921" spans="10:10" ht="15.75" customHeight="1">
      <c r="J921" s="33"/>
    </row>
    <row r="922" spans="10:10" ht="15.75" customHeight="1">
      <c r="J922" s="33"/>
    </row>
    <row r="923" spans="10:10" ht="15.75" customHeight="1">
      <c r="J923" s="33"/>
    </row>
    <row r="924" spans="10:10" ht="15.75" customHeight="1">
      <c r="J924" s="33"/>
    </row>
    <row r="925" spans="10:10" ht="15.75" customHeight="1">
      <c r="J925" s="33"/>
    </row>
    <row r="926" spans="10:10" ht="15.75" customHeight="1">
      <c r="J926" s="33"/>
    </row>
    <row r="927" spans="10:10" ht="15.75" customHeight="1">
      <c r="J927" s="33"/>
    </row>
    <row r="928" spans="10:10" ht="15.75" customHeight="1">
      <c r="J928" s="33"/>
    </row>
    <row r="929" spans="10:10" ht="15.75" customHeight="1">
      <c r="J929" s="33"/>
    </row>
    <row r="930" spans="10:10" ht="15.75" customHeight="1">
      <c r="J930" s="33"/>
    </row>
    <row r="931" spans="10:10" ht="15.75" customHeight="1">
      <c r="J931" s="33"/>
    </row>
    <row r="932" spans="10:10" ht="15.75" customHeight="1">
      <c r="J932" s="33"/>
    </row>
    <row r="933" spans="10:10" ht="15.75" customHeight="1">
      <c r="J933" s="33"/>
    </row>
    <row r="934" spans="10:10" ht="15.75" customHeight="1">
      <c r="J934" s="33"/>
    </row>
    <row r="935" spans="10:10" ht="15.75" customHeight="1">
      <c r="J935" s="33"/>
    </row>
    <row r="936" spans="10:10" ht="15.75" customHeight="1">
      <c r="J936" s="33"/>
    </row>
    <row r="937" spans="10:10" ht="15.75" customHeight="1">
      <c r="J937" s="33"/>
    </row>
    <row r="938" spans="10:10" ht="15.75" customHeight="1">
      <c r="J938" s="33"/>
    </row>
    <row r="939" spans="10:10" ht="15.75" customHeight="1">
      <c r="J939" s="33"/>
    </row>
    <row r="940" spans="10:10" ht="15.75" customHeight="1">
      <c r="J940" s="33"/>
    </row>
    <row r="941" spans="10:10" ht="15.75" customHeight="1">
      <c r="J941" s="33"/>
    </row>
    <row r="942" spans="10:10" ht="15.75" customHeight="1">
      <c r="J942" s="33"/>
    </row>
    <row r="943" spans="10:10" ht="15.75" customHeight="1">
      <c r="J943" s="33"/>
    </row>
    <row r="944" spans="10:10" ht="15.75" customHeight="1">
      <c r="J944" s="33"/>
    </row>
    <row r="945" spans="10:10" ht="15.75" customHeight="1">
      <c r="J945" s="33"/>
    </row>
    <row r="946" spans="10:10" ht="15.75" customHeight="1">
      <c r="J946" s="33"/>
    </row>
    <row r="947" spans="10:10" ht="15.75" customHeight="1">
      <c r="J947" s="33"/>
    </row>
    <row r="948" spans="10:10" ht="15.75" customHeight="1">
      <c r="J948" s="33"/>
    </row>
    <row r="949" spans="10:10" ht="15.75" customHeight="1">
      <c r="J949" s="33"/>
    </row>
    <row r="950" spans="10:10" ht="15.75" customHeight="1">
      <c r="J950" s="33"/>
    </row>
    <row r="951" spans="10:10" ht="15.75" customHeight="1">
      <c r="J951" s="33"/>
    </row>
    <row r="952" spans="10:10" ht="15.75" customHeight="1">
      <c r="J952" s="33"/>
    </row>
    <row r="953" spans="10:10" ht="15.75" customHeight="1">
      <c r="J953" s="33"/>
    </row>
    <row r="954" spans="10:10" ht="15.75" customHeight="1">
      <c r="J954" s="33"/>
    </row>
    <row r="955" spans="10:10" ht="15.75" customHeight="1">
      <c r="J955" s="33"/>
    </row>
    <row r="956" spans="10:10" ht="15.75" customHeight="1">
      <c r="J956" s="33"/>
    </row>
    <row r="957" spans="10:10" ht="15.75" customHeight="1">
      <c r="J957" s="33"/>
    </row>
    <row r="958" spans="10:10" ht="15.75" customHeight="1">
      <c r="J958" s="33"/>
    </row>
    <row r="959" spans="10:10" ht="15.75" customHeight="1">
      <c r="J959" s="33"/>
    </row>
    <row r="960" spans="10:10" ht="15.75" customHeight="1">
      <c r="J960" s="33"/>
    </row>
    <row r="961" spans="10:10" ht="15.75" customHeight="1">
      <c r="J961" s="33"/>
    </row>
    <row r="962" spans="10:10" ht="15.75" customHeight="1">
      <c r="J962" s="33"/>
    </row>
    <row r="963" spans="10:10" ht="15.75" customHeight="1">
      <c r="J963" s="33"/>
    </row>
    <row r="964" spans="10:10" ht="15.75" customHeight="1">
      <c r="J964" s="33"/>
    </row>
    <row r="965" spans="10:10" ht="15.75" customHeight="1">
      <c r="J965" s="33"/>
    </row>
    <row r="966" spans="10:10" ht="15.75" customHeight="1">
      <c r="J966" s="33"/>
    </row>
    <row r="967" spans="10:10" ht="15.75" customHeight="1">
      <c r="J967" s="33"/>
    </row>
    <row r="968" spans="10:10" ht="15.75" customHeight="1">
      <c r="J968" s="33"/>
    </row>
    <row r="969" spans="10:10" ht="15.75" customHeight="1">
      <c r="J969" s="33"/>
    </row>
    <row r="970" spans="10:10" ht="15.75" customHeight="1">
      <c r="J970" s="33"/>
    </row>
    <row r="971" spans="10:10" ht="15.75" customHeight="1">
      <c r="J971" s="33"/>
    </row>
    <row r="972" spans="10:10" ht="15.75" customHeight="1">
      <c r="J972" s="33"/>
    </row>
    <row r="973" spans="10:10" ht="15.75" customHeight="1">
      <c r="J973" s="33"/>
    </row>
    <row r="974" spans="10:10" ht="15.75" customHeight="1">
      <c r="J974" s="33"/>
    </row>
    <row r="975" spans="10:10" ht="15.75" customHeight="1">
      <c r="J975" s="33"/>
    </row>
    <row r="976" spans="10:10" ht="15.75" customHeight="1">
      <c r="J976" s="33"/>
    </row>
    <row r="977" spans="10:10" ht="15.75" customHeight="1">
      <c r="J977" s="33"/>
    </row>
    <row r="978" spans="10:10" ht="15.75" customHeight="1">
      <c r="J978" s="33"/>
    </row>
    <row r="979" spans="10:10" ht="15.75" customHeight="1">
      <c r="J979" s="33"/>
    </row>
    <row r="980" spans="10:10" ht="15.75" customHeight="1">
      <c r="J980" s="33"/>
    </row>
    <row r="981" spans="10:10" ht="15.75" customHeight="1">
      <c r="J981" s="33"/>
    </row>
    <row r="982" spans="10:10" ht="15.75" customHeight="1">
      <c r="J982" s="33"/>
    </row>
    <row r="983" spans="10:10" ht="15.75" customHeight="1">
      <c r="J983" s="33"/>
    </row>
    <row r="984" spans="10:10" ht="15.75" customHeight="1">
      <c r="J984" s="33"/>
    </row>
    <row r="985" spans="10:10" ht="15.75" customHeight="1">
      <c r="J985" s="33"/>
    </row>
    <row r="986" spans="10:10" ht="15.75" customHeight="1">
      <c r="J986" s="33"/>
    </row>
    <row r="987" spans="10:10" ht="15.75" customHeight="1">
      <c r="J987" s="33"/>
    </row>
    <row r="988" spans="10:10" ht="15.75" customHeight="1">
      <c r="J988" s="33"/>
    </row>
    <row r="989" spans="10:10" ht="15.75" customHeight="1">
      <c r="J989" s="33"/>
    </row>
    <row r="990" spans="10:10" ht="15.75" customHeight="1">
      <c r="J990" s="33"/>
    </row>
    <row r="991" spans="10:10" ht="15.75" customHeight="1">
      <c r="J991" s="33"/>
    </row>
    <row r="992" spans="10:10" ht="15.75" customHeight="1">
      <c r="J992" s="33"/>
    </row>
    <row r="993" spans="10:10" ht="15.75" customHeight="1">
      <c r="J993" s="33"/>
    </row>
    <row r="994" spans="10:10" ht="15.75" customHeight="1">
      <c r="J994" s="33"/>
    </row>
    <row r="995" spans="10:10" ht="15.75" customHeight="1">
      <c r="J995" s="33"/>
    </row>
    <row r="996" spans="10:10" ht="15.75" customHeight="1">
      <c r="J996" s="33"/>
    </row>
    <row r="997" spans="10:10" ht="15.75" customHeight="1">
      <c r="J997" s="33"/>
    </row>
    <row r="998" spans="10:10" ht="15.75" customHeight="1">
      <c r="J998" s="33"/>
    </row>
    <row r="999" spans="10:10" ht="15.75" customHeight="1">
      <c r="J999" s="33"/>
    </row>
    <row r="1000" spans="10:10" ht="15.75" customHeight="1">
      <c r="J1000" s="33"/>
    </row>
    <row r="1001" spans="10:10" ht="15.75" customHeight="1">
      <c r="J1001" s="33"/>
    </row>
    <row r="1002" spans="10:10" ht="15.75" customHeight="1">
      <c r="J1002" s="33"/>
    </row>
    <row r="1003" spans="10:10" ht="15.75" customHeight="1">
      <c r="J1003" s="33"/>
    </row>
    <row r="1004" spans="10:10" ht="15.75" customHeight="1">
      <c r="J1004" s="33"/>
    </row>
    <row r="1005" spans="10:10" ht="15.75" customHeight="1">
      <c r="J1005" s="33"/>
    </row>
    <row r="1006" spans="10:10" ht="15.75" customHeight="1">
      <c r="J1006" s="33"/>
    </row>
    <row r="1007" spans="10:10" ht="15.75" customHeight="1">
      <c r="J1007" s="33"/>
    </row>
    <row r="1008" spans="10:10" ht="15.75" customHeight="1">
      <c r="J1008" s="33"/>
    </row>
    <row r="1009" spans="10:10" ht="15.75" customHeight="1">
      <c r="J1009" s="33"/>
    </row>
    <row r="1010" spans="10:10" ht="15.75" customHeight="1">
      <c r="J1010" s="33"/>
    </row>
    <row r="1011" spans="10:10" ht="15.75" customHeight="1">
      <c r="J1011" s="33"/>
    </row>
    <row r="1012" spans="10:10" ht="15.75" customHeight="1">
      <c r="J1012" s="33"/>
    </row>
    <row r="1013" spans="10:10" ht="15.75" customHeight="1">
      <c r="J1013" s="33"/>
    </row>
    <row r="1014" spans="10:10" ht="15.75" customHeight="1">
      <c r="J1014" s="33"/>
    </row>
    <row r="1015" spans="10:10" ht="15.75" customHeight="1">
      <c r="J1015" s="33"/>
    </row>
    <row r="1016" spans="10:10" ht="15.75" customHeight="1">
      <c r="J1016" s="33"/>
    </row>
    <row r="1017" spans="10:10" ht="15.75" customHeight="1">
      <c r="J1017" s="33"/>
    </row>
    <row r="1018" spans="10:10" ht="15.75" customHeight="1">
      <c r="J1018" s="33"/>
    </row>
    <row r="1019" spans="10:10" ht="15.75" customHeight="1">
      <c r="J1019" s="33"/>
    </row>
    <row r="1020" spans="10:10" ht="15.75" customHeight="1">
      <c r="J1020" s="33"/>
    </row>
    <row r="1021" spans="10:10" ht="15.75" customHeight="1">
      <c r="J1021" s="33"/>
    </row>
    <row r="1022" spans="10:10" ht="15.75" customHeight="1">
      <c r="J1022" s="33"/>
    </row>
    <row r="1023" spans="10:10" ht="15.75" customHeight="1">
      <c r="J1023" s="33"/>
    </row>
    <row r="1024" spans="10:10" ht="15.75" customHeight="1">
      <c r="J1024" s="33"/>
    </row>
    <row r="1025" spans="10:10" ht="15.75" customHeight="1">
      <c r="J1025" s="33"/>
    </row>
    <row r="1026" spans="10:10" ht="15.75" customHeight="1">
      <c r="J1026" s="33"/>
    </row>
    <row r="1027" spans="10:10" ht="15.75" customHeight="1">
      <c r="J1027" s="33"/>
    </row>
    <row r="1028" spans="10:10" ht="15.75" customHeight="1">
      <c r="J1028" s="33"/>
    </row>
    <row r="1029" spans="10:10" ht="15.75" customHeight="1">
      <c r="J1029" s="33"/>
    </row>
    <row r="1030" spans="10:10" ht="15.75" customHeight="1">
      <c r="J1030" s="33"/>
    </row>
    <row r="1031" spans="10:10" ht="15.75" customHeight="1">
      <c r="J1031" s="33"/>
    </row>
    <row r="1032" spans="10:10" ht="15.75" customHeight="1">
      <c r="J1032" s="33"/>
    </row>
    <row r="1033" spans="10:10" ht="15.75" customHeight="1">
      <c r="J1033" s="33"/>
    </row>
    <row r="1034" spans="10:10" ht="15.75" customHeight="1">
      <c r="J1034" s="33"/>
    </row>
    <row r="1035" spans="10:10" ht="15.75" customHeight="1">
      <c r="J1035" s="33"/>
    </row>
    <row r="1036" spans="10:10" ht="15.75" customHeight="1">
      <c r="J1036" s="33"/>
    </row>
    <row r="1037" spans="10:10" ht="15.75" customHeight="1">
      <c r="J1037" s="33"/>
    </row>
    <row r="1038" spans="10:10" ht="15.75" customHeight="1">
      <c r="J1038" s="33"/>
    </row>
    <row r="1039" spans="10:10" ht="15.75" customHeight="1">
      <c r="J1039" s="33"/>
    </row>
    <row r="1040" spans="10:10" ht="15.75" customHeight="1">
      <c r="J1040" s="33"/>
    </row>
    <row r="1041" spans="10:10" ht="15.75" customHeight="1">
      <c r="J1041" s="33"/>
    </row>
    <row r="1042" spans="10:10" ht="15.75" customHeight="1">
      <c r="J1042" s="33"/>
    </row>
    <row r="1043" spans="10:10" ht="15.75" customHeight="1">
      <c r="J1043" s="33"/>
    </row>
    <row r="1044" spans="10:10" ht="15.75" customHeight="1">
      <c r="J1044" s="33"/>
    </row>
    <row r="1045" spans="10:10" ht="15.75" customHeight="1">
      <c r="J1045" s="33"/>
    </row>
    <row r="1046" spans="10:10" ht="15.75" customHeight="1">
      <c r="J1046" s="33"/>
    </row>
    <row r="1047" spans="10:10" ht="15.75" customHeight="1">
      <c r="J1047" s="33"/>
    </row>
    <row r="1048" spans="10:10" ht="15.75" customHeight="1">
      <c r="J1048" s="33"/>
    </row>
    <row r="1049" spans="10:10" ht="15.75" customHeight="1">
      <c r="J1049" s="33"/>
    </row>
    <row r="1050" spans="10:10" ht="15.75" customHeight="1">
      <c r="J1050" s="33"/>
    </row>
    <row r="1051" spans="10:10" ht="15.75" customHeight="1">
      <c r="J1051" s="33"/>
    </row>
    <row r="1052" spans="10:10" ht="15.75" customHeight="1">
      <c r="J1052" s="33"/>
    </row>
    <row r="1053" spans="10:10" ht="15.75" customHeight="1">
      <c r="J1053" s="33"/>
    </row>
    <row r="1054" spans="10:10" ht="15.75" customHeight="1">
      <c r="J1054" s="33"/>
    </row>
    <row r="1055" spans="10:10" ht="15.75" customHeight="1">
      <c r="J1055" s="33"/>
    </row>
    <row r="1056" spans="10:10" ht="15.75" customHeight="1">
      <c r="J1056" s="33"/>
    </row>
    <row r="1057" spans="10:10" ht="15.75" customHeight="1">
      <c r="J1057" s="33"/>
    </row>
    <row r="1058" spans="10:10" ht="15.75" customHeight="1">
      <c r="J1058" s="33"/>
    </row>
    <row r="1059" spans="10:10" ht="15.75" customHeight="1">
      <c r="J1059" s="33"/>
    </row>
    <row r="1060" spans="10:10" ht="15.75" customHeight="1">
      <c r="J1060" s="33"/>
    </row>
    <row r="1061" spans="10:10" ht="15.75" customHeight="1">
      <c r="J1061" s="33"/>
    </row>
    <row r="1062" spans="10:10" ht="15.75" customHeight="1">
      <c r="J1062" s="33"/>
    </row>
    <row r="1063" spans="10:10" ht="15.75" customHeight="1">
      <c r="J1063" s="33"/>
    </row>
    <row r="1064" spans="10:10" ht="15.75" customHeight="1">
      <c r="J1064" s="33"/>
    </row>
    <row r="1065" spans="10:10" ht="15.75" customHeight="1">
      <c r="J1065" s="33"/>
    </row>
    <row r="1066" spans="10:10" ht="15.75" customHeight="1">
      <c r="J1066" s="33"/>
    </row>
    <row r="1067" spans="10:10" ht="15.75" customHeight="1">
      <c r="J1067" s="33"/>
    </row>
    <row r="1068" spans="10:10" ht="15.75" customHeight="1">
      <c r="J1068" s="33"/>
    </row>
    <row r="1069" spans="10:10" ht="15.75" customHeight="1">
      <c r="J1069" s="33"/>
    </row>
    <row r="1070" spans="10:10" ht="15.75" customHeight="1">
      <c r="J1070" s="33"/>
    </row>
    <row r="1071" spans="10:10" ht="15.75" customHeight="1">
      <c r="J1071" s="33"/>
    </row>
    <row r="1072" spans="10:10" ht="15.75" customHeight="1">
      <c r="J1072" s="33"/>
    </row>
    <row r="1073" spans="10:10" ht="15.75" customHeight="1">
      <c r="J1073" s="33"/>
    </row>
    <row r="1074" spans="10:10" ht="15.75" customHeight="1">
      <c r="J1074" s="33"/>
    </row>
    <row r="1075" spans="10:10" ht="15.75" customHeight="1">
      <c r="J1075" s="33"/>
    </row>
    <row r="1076" spans="10:10" ht="15.75" customHeight="1">
      <c r="J1076" s="33"/>
    </row>
    <row r="1077" spans="10:10" ht="15.75" customHeight="1">
      <c r="J1077" s="33"/>
    </row>
    <row r="1078" spans="10:10" ht="15.75" customHeight="1">
      <c r="J1078" s="33"/>
    </row>
    <row r="1079" spans="10:10" ht="15.75" customHeight="1">
      <c r="J1079" s="33"/>
    </row>
    <row r="1080" spans="10:10" ht="15.75" customHeight="1">
      <c r="J1080" s="33"/>
    </row>
    <row r="1081" spans="10:10" ht="15.75" customHeight="1">
      <c r="J1081" s="33"/>
    </row>
    <row r="1082" spans="10:10" ht="15.75" customHeight="1">
      <c r="J1082" s="33"/>
    </row>
    <row r="1083" spans="10:10" ht="15.75" customHeight="1">
      <c r="J1083" s="33"/>
    </row>
    <row r="1084" spans="10:10" ht="15.75" customHeight="1">
      <c r="J1084" s="33"/>
    </row>
    <row r="1085" spans="10:10" ht="15.75" customHeight="1">
      <c r="J1085" s="33"/>
    </row>
    <row r="1086" spans="10:10" ht="15.75" customHeight="1">
      <c r="J1086" s="33"/>
    </row>
    <row r="1087" spans="10:10" ht="15.75" customHeight="1">
      <c r="J1087" s="33"/>
    </row>
    <row r="1088" spans="10:10" ht="15.75" customHeight="1">
      <c r="J1088" s="33"/>
    </row>
    <row r="1089" spans="10:10" ht="15.75" customHeight="1">
      <c r="J1089" s="33"/>
    </row>
    <row r="1090" spans="10:10" ht="15.75" customHeight="1">
      <c r="J1090" s="33"/>
    </row>
    <row r="1091" spans="10:10" ht="15.75" customHeight="1">
      <c r="J1091" s="33"/>
    </row>
    <row r="1092" spans="10:10" ht="15.75" customHeight="1">
      <c r="J1092" s="33"/>
    </row>
    <row r="1093" spans="10:10" ht="15.75" customHeight="1">
      <c r="J1093" s="33"/>
    </row>
    <row r="1094" spans="10:10" ht="15.75" customHeight="1">
      <c r="J1094" s="33"/>
    </row>
    <row r="1095" spans="10:10" ht="15.75" customHeight="1">
      <c r="J1095" s="33"/>
    </row>
    <row r="1096" spans="10:10" ht="15.75" customHeight="1">
      <c r="J1096" s="33"/>
    </row>
    <row r="1097" spans="10:10" ht="15.75" customHeight="1">
      <c r="J1097" s="33"/>
    </row>
    <row r="1098" spans="10:10" ht="15.75" customHeight="1">
      <c r="J1098" s="33"/>
    </row>
    <row r="1099" spans="10:10" ht="15.75" customHeight="1">
      <c r="J1099" s="33"/>
    </row>
    <row r="1100" spans="10:10" ht="15.75" customHeight="1">
      <c r="J1100" s="33"/>
    </row>
    <row r="1101" spans="10:10" ht="15.75" customHeight="1">
      <c r="J1101" s="33"/>
    </row>
    <row r="1102" spans="10:10" ht="15.75" customHeight="1">
      <c r="J1102" s="33"/>
    </row>
    <row r="1103" spans="10:10" ht="15.75" customHeight="1">
      <c r="J1103" s="33"/>
    </row>
    <row r="1104" spans="10:10" ht="15.75" customHeight="1">
      <c r="J1104" s="33"/>
    </row>
    <row r="1105" spans="10:10" ht="15.75" customHeight="1">
      <c r="J1105" s="33"/>
    </row>
    <row r="1106" spans="10:10" ht="15.75" customHeight="1">
      <c r="J1106" s="33"/>
    </row>
    <row r="1107" spans="10:10" ht="15.75" customHeight="1">
      <c r="J1107" s="33"/>
    </row>
    <row r="1108" spans="10:10" ht="15.75" customHeight="1">
      <c r="J1108" s="33"/>
    </row>
    <row r="1109" spans="10:10" ht="15.75" customHeight="1">
      <c r="J1109" s="33"/>
    </row>
    <row r="1110" spans="10:10" ht="15.75" customHeight="1">
      <c r="J1110" s="33"/>
    </row>
    <row r="1111" spans="10:10" ht="15.75" customHeight="1">
      <c r="J1111" s="33"/>
    </row>
    <row r="1112" spans="10:10" ht="15.75" customHeight="1">
      <c r="J1112" s="33"/>
    </row>
    <row r="1113" spans="10:10" ht="15.75" customHeight="1">
      <c r="J1113" s="33"/>
    </row>
    <row r="1114" spans="10:10" ht="15.75" customHeight="1">
      <c r="J1114" s="33"/>
    </row>
    <row r="1115" spans="10:10" ht="15.75" customHeight="1">
      <c r="J1115" s="33"/>
    </row>
    <row r="1116" spans="10:10" ht="15.75" customHeight="1">
      <c r="J1116" s="33"/>
    </row>
    <row r="1117" spans="10:10" ht="15.75" customHeight="1">
      <c r="J1117" s="33"/>
    </row>
    <row r="1118" spans="10:10" ht="15.75" customHeight="1">
      <c r="J1118" s="33"/>
    </row>
    <row r="1119" spans="10:10" ht="15.75" customHeight="1">
      <c r="J1119" s="33"/>
    </row>
    <row r="1120" spans="10:10" ht="15.75" customHeight="1">
      <c r="J1120" s="33"/>
    </row>
    <row r="1121" spans="10:10" ht="15.75" customHeight="1">
      <c r="J1121" s="33"/>
    </row>
    <row r="1122" spans="10:10" ht="15.75" customHeight="1">
      <c r="J1122" s="33"/>
    </row>
    <row r="1123" spans="10:10" ht="15.75" customHeight="1">
      <c r="J1123" s="33"/>
    </row>
    <row r="1124" spans="10:10" ht="15.75" customHeight="1">
      <c r="J1124" s="33"/>
    </row>
    <row r="1125" spans="10:10" ht="15.75" customHeight="1">
      <c r="J1125" s="33"/>
    </row>
    <row r="1126" spans="10:10" ht="15.75" customHeight="1">
      <c r="J1126" s="33"/>
    </row>
    <row r="1127" spans="10:10" ht="15.75" customHeight="1">
      <c r="J1127" s="33"/>
    </row>
  </sheetData>
  <sortState xmlns:xlrd2="http://schemas.microsoft.com/office/spreadsheetml/2017/richdata2" ref="A2:O1127">
    <sortCondition ref="D213:D1127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>
      <c r="A1" s="8" t="s">
        <v>0</v>
      </c>
      <c r="B1" s="9" t="s">
        <v>10</v>
      </c>
      <c r="C1" s="10" t="s">
        <v>432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433</v>
      </c>
      <c r="L1" s="10" t="s">
        <v>18</v>
      </c>
      <c r="M1" s="10" t="s">
        <v>19</v>
      </c>
      <c r="N1" s="10" t="s">
        <v>22</v>
      </c>
      <c r="O1" s="10" t="s">
        <v>434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 customHeight="1">
      <c r="A2" s="11" t="s">
        <v>69</v>
      </c>
      <c r="B2" s="12">
        <f>C2/D2</f>
        <v>225496.78947368421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71</v>
      </c>
      <c r="K2" s="14">
        <v>1</v>
      </c>
      <c r="L2" s="19" t="s">
        <v>40</v>
      </c>
      <c r="M2" s="19" t="s">
        <v>72</v>
      </c>
      <c r="N2" s="15">
        <v>45261</v>
      </c>
      <c r="O2" s="20" t="s">
        <v>435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>
      <c r="A3" s="11" t="s">
        <v>83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28</v>
      </c>
      <c r="M3" s="19" t="s">
        <v>29</v>
      </c>
      <c r="N3" s="15">
        <v>45265</v>
      </c>
      <c r="O3" s="20" t="s">
        <v>435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 customHeight="1">
      <c r="A4" s="11" t="s">
        <v>97</v>
      </c>
      <c r="B4" s="12">
        <f t="shared" si="0"/>
        <v>32138.307692307691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28</v>
      </c>
      <c r="M4" s="19" t="s">
        <v>81</v>
      </c>
      <c r="N4" s="15">
        <v>45323</v>
      </c>
      <c r="O4" s="20" t="s">
        <v>435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 customHeight="1">
      <c r="A5" s="11" t="s">
        <v>69</v>
      </c>
      <c r="B5" s="12">
        <f t="shared" si="0"/>
        <v>470236.89473684208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40</v>
      </c>
      <c r="M5" s="19" t="s">
        <v>103</v>
      </c>
      <c r="N5" s="21"/>
      <c r="O5" s="22" t="s">
        <v>435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>
      <c r="A6" s="11" t="s">
        <v>83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28</v>
      </c>
      <c r="M6" s="19" t="s">
        <v>29</v>
      </c>
      <c r="N6" s="21"/>
      <c r="O6" s="22" t="s">
        <v>435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 customHeight="1">
      <c r="A7" s="11" t="s">
        <v>180</v>
      </c>
      <c r="B7" s="12">
        <f t="shared" si="0"/>
        <v>42887.359698681736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28</v>
      </c>
      <c r="M7" s="19" t="s">
        <v>85</v>
      </c>
      <c r="N7" s="21"/>
      <c r="O7" s="22" t="s">
        <v>435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 customHeight="1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 customHeight="1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 customHeight="1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 customHeight="1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 customHeight="1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 customHeight="1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 customHeight="1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 customHeight="1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 customHeight="1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 customHeight="1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 customHeight="1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 customHeight="1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 customHeight="1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 customHeight="1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 customHeight="1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customHeight="1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 customHeight="1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 customHeight="1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 customHeight="1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 customHeight="1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 customHeight="1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 customHeight="1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 customHeight="1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5" customHeight="1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" customHeight="1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5" customHeight="1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" customHeight="1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" customHeight="1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" customHeight="1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5" customHeight="1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5" customHeight="1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" customHeight="1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5" customHeight="1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5" customHeight="1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5" customHeight="1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" customHeight="1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5" customHeight="1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5" customHeight="1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5" customHeight="1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5" customHeight="1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5" customHeight="1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5" customHeight="1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5" customHeight="1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5" customHeight="1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5" customHeight="1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5" customHeight="1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5" customHeight="1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5" customHeight="1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5" customHeight="1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5" customHeight="1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5" customHeight="1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5" customHeight="1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5" customHeight="1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5" customHeight="1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ht="15" customHeight="1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15" customHeight="1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5" customHeight="1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5" customHeight="1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5" customHeight="1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5" customHeight="1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5" customHeight="1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5" customHeight="1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5" customHeight="1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5" customHeight="1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5" customHeight="1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5" customHeight="1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5" customHeight="1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5" customHeight="1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5" customHeight="1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5" customHeight="1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5" customHeight="1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5" customHeight="1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5" customHeight="1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5" customHeight="1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5" customHeight="1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" customHeight="1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" customHeight="1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5" customHeight="1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5" customHeight="1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5" customHeight="1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5" customHeight="1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5" customHeight="1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5" customHeight="1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5" customHeight="1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5" customHeight="1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5" customHeight="1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5" customHeight="1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5" customHeight="1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5" customHeight="1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5" customHeight="1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5" customHeight="1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5" customHeight="1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5" customHeight="1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5" customHeight="1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5" customHeight="1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5" customHeight="1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5" customHeight="1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5" customHeight="1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5" customHeight="1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5" customHeight="1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5" customHeight="1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5" customHeight="1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5" customHeight="1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5" customHeight="1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5" customHeight="1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5" customHeight="1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5" customHeight="1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5" customHeight="1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5" customHeight="1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5" customHeight="1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5" customHeight="1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5" customHeight="1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5" customHeight="1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5" customHeight="1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5" customHeight="1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5" customHeight="1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5" customHeight="1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5" customHeight="1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5" customHeight="1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5" customHeight="1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5" customHeight="1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5" customHeight="1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5" customHeight="1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5" customHeight="1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5" customHeight="1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5" customHeight="1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5" customHeight="1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5" customHeight="1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" customHeight="1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" customHeight="1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" customHeight="1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5" customHeight="1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" customHeight="1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" customHeight="1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" customHeight="1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5" customHeight="1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5" customHeight="1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5" customHeight="1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5" customHeight="1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5" customHeight="1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5" customHeight="1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5" customHeight="1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5" customHeight="1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5" customHeight="1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5" customHeight="1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5" customHeight="1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5" customHeight="1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5" customHeight="1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5" customHeight="1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5" customHeight="1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5" customHeight="1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5" customHeight="1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5" customHeight="1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5" customHeight="1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5" customHeight="1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5" customHeight="1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5" customHeight="1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5" customHeight="1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5" customHeight="1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5" customHeight="1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5" customHeight="1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5" customHeight="1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5" customHeight="1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5" customHeight="1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5" customHeight="1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5" customHeight="1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5" customHeight="1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5" customHeight="1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5" customHeight="1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5" customHeight="1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5" customHeight="1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5" customHeight="1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5" customHeight="1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5" customHeight="1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5" customHeight="1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5" customHeight="1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5" customHeight="1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5" customHeight="1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5" customHeight="1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5" customHeight="1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5" customHeight="1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5" customHeight="1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5" customHeight="1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5" customHeight="1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5" customHeight="1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5" customHeight="1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5" customHeight="1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5" customHeight="1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5" customHeight="1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5" customHeight="1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5" customHeight="1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5" customHeight="1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5" customHeight="1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5" customHeight="1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5" customHeight="1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5" customHeight="1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5" customHeight="1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5" customHeight="1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5" customHeight="1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5" customHeight="1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5" customHeight="1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5" customHeight="1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5" customHeight="1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5" customHeight="1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5" customHeight="1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5" customHeight="1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5" customHeight="1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5" customHeight="1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5" customHeight="1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5" customHeight="1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5" customHeight="1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5" customHeight="1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5" customHeight="1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5" customHeight="1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5" customHeight="1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5" customHeight="1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5" customHeight="1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5" customHeight="1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" customHeight="1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5" customHeight="1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5" customHeight="1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" customHeight="1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5" customHeight="1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5" customHeight="1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5" customHeight="1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" customHeight="1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" customHeight="1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5" customHeight="1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5" customHeight="1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" customHeight="1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" customHeight="1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" customHeight="1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" customHeight="1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" customHeight="1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" customHeight="1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5" customHeight="1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5" customHeight="1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5" customHeight="1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" customHeight="1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" customHeight="1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" customHeight="1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" customHeight="1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" customHeight="1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" customHeight="1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" customHeight="1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" customHeight="1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" customHeight="1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" customHeight="1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" customHeight="1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" customHeight="1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" customHeight="1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" customHeight="1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" customHeight="1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" customHeight="1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" customHeight="1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" customHeight="1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" customHeight="1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" customHeight="1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" customHeight="1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" customHeight="1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" customHeight="1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" customHeight="1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" customHeight="1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" customHeight="1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" customHeight="1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" customHeight="1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" customHeight="1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" customHeight="1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" customHeight="1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" customHeight="1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" customHeight="1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" customHeight="1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" customHeight="1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" customHeight="1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" customHeight="1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" customHeight="1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" customHeight="1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" customHeight="1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" customHeight="1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" customHeight="1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" customHeight="1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" customHeight="1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" customHeight="1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" customHeight="1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" customHeight="1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" customHeight="1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" customHeight="1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" customHeight="1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" customHeight="1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" customHeight="1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" customHeight="1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" customHeight="1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" customHeight="1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" customHeight="1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" customHeight="1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" customHeight="1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" customHeight="1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" customHeight="1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" customHeight="1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" customHeight="1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" customHeight="1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5" customHeight="1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5" customHeight="1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" customHeight="1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" customHeight="1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" customHeight="1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" customHeight="1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" customHeight="1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5" customHeight="1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5" customHeight="1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5" customHeight="1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" customHeight="1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5" customHeight="1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5" customHeight="1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5" customHeight="1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" customHeight="1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" customHeight="1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" customHeight="1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" customHeight="1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" customHeight="1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" customHeight="1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" customHeight="1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5" customHeight="1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5" customHeight="1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5" customHeight="1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" customHeight="1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" customHeight="1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5" customHeight="1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5" customHeight="1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5" customHeight="1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5" customHeight="1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5" customHeight="1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" customHeight="1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" customHeight="1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" customHeight="1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" customHeight="1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" customHeight="1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" customHeight="1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" customHeight="1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" customHeight="1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" customHeight="1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" customHeight="1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" customHeight="1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5" customHeight="1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5" customHeight="1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" customHeight="1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" customHeight="1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" customHeight="1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" customHeight="1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5" customHeight="1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5" customHeight="1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" customHeight="1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" customHeight="1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" customHeight="1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5" customHeight="1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5" customHeight="1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" customHeight="1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" customHeight="1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" customHeight="1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" customHeight="1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" customHeight="1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5" customHeight="1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5" customHeight="1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" customHeight="1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5" customHeight="1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5" customHeight="1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" customHeight="1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" customHeight="1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" customHeight="1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" customHeight="1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" customHeight="1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5" customHeight="1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5" customHeight="1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5" customHeight="1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5" customHeight="1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5" customHeight="1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5" customHeight="1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5" customHeight="1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5" customHeight="1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5" customHeight="1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5" customHeight="1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5" customHeight="1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5" customHeight="1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5" customHeight="1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5" customHeight="1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5" customHeight="1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5" customHeight="1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5" customHeight="1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5" customHeight="1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5" customHeight="1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5" customHeight="1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5" customHeight="1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5" customHeight="1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5" customHeight="1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5" customHeight="1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5" customHeight="1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5" customHeight="1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5" customHeight="1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5" customHeight="1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5" customHeight="1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5" customHeight="1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5" customHeight="1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5" customHeight="1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5" customHeight="1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5" customHeight="1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5" customHeight="1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5" customHeight="1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5" customHeight="1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5" customHeight="1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5" customHeight="1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5" customHeight="1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5" customHeight="1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5" customHeight="1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5" customHeight="1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5" customHeight="1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5" customHeight="1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5" customHeight="1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5" customHeight="1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5" customHeight="1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5" customHeight="1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5" customHeight="1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5" customHeight="1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5" customHeight="1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5" customHeight="1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5" customHeight="1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5" customHeight="1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5" customHeight="1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5" customHeight="1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5" customHeight="1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5" customHeight="1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5" customHeight="1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5" customHeight="1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5" customHeight="1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5" customHeight="1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5" customHeight="1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5" customHeight="1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5" customHeight="1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5" customHeight="1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5" customHeight="1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5" customHeight="1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5" customHeight="1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5" customHeight="1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5" customHeight="1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5" customHeight="1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5" customHeight="1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5" customHeight="1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5" customHeight="1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5" customHeight="1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5" customHeight="1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5" customHeight="1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5" customHeight="1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5" customHeight="1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5" customHeight="1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5" customHeight="1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5" customHeight="1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5" customHeight="1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5" customHeight="1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5" customHeight="1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5" customHeight="1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5" customHeight="1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5" customHeight="1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5" customHeight="1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5" customHeight="1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5" customHeight="1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5" customHeight="1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5" customHeight="1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5" customHeight="1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5" customHeight="1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5" customHeight="1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5" customHeight="1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5" customHeight="1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5" customHeight="1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5" customHeight="1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5" customHeight="1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5" customHeight="1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5" customHeight="1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5" customHeight="1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5" customHeight="1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5" customHeight="1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5" customHeight="1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5" customHeight="1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5" customHeight="1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5" customHeight="1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5" customHeight="1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5" customHeight="1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5" customHeight="1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5" customHeight="1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5" customHeight="1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5" customHeight="1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5" customHeight="1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5" customHeight="1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5" customHeight="1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5" customHeight="1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5" customHeight="1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5" customHeight="1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5" customHeight="1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5" customHeight="1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5" customHeight="1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5" customHeight="1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5" customHeight="1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5" customHeight="1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5" customHeight="1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5" customHeight="1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5" customHeight="1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5" customHeight="1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5" customHeight="1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5" customHeight="1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5" customHeight="1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5" customHeight="1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5" customHeight="1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5" customHeight="1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5" customHeight="1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5" customHeight="1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5" customHeight="1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5" customHeight="1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5" customHeight="1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5" customHeight="1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5" customHeight="1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5" customHeight="1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5" customHeight="1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5" customHeight="1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5" customHeight="1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5" customHeight="1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5" customHeight="1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5" customHeight="1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5" customHeight="1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5" customHeight="1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5" customHeight="1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5" customHeight="1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5" customHeight="1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5" customHeight="1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5" customHeight="1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5" customHeight="1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5" customHeight="1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5" customHeight="1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5" customHeight="1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5" customHeight="1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5" customHeight="1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5" customHeight="1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5" customHeight="1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5" customHeight="1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5" customHeight="1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5" customHeight="1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5" customHeight="1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5" customHeight="1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5" customHeight="1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5" customHeight="1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5" customHeight="1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5" customHeight="1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5" customHeight="1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5" customHeight="1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5" customHeight="1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5" customHeight="1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5" customHeight="1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5" customHeight="1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5" customHeight="1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5" customHeight="1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5" customHeight="1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5" customHeight="1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5" customHeight="1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5" customHeight="1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5" customHeight="1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5" customHeight="1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5" customHeight="1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5" customHeight="1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5" customHeight="1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5" customHeight="1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5" customHeight="1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5" customHeight="1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5" customHeight="1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5" customHeight="1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5" customHeight="1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5" customHeight="1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5" customHeight="1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5" customHeight="1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5" customHeight="1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5" customHeight="1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5" customHeight="1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5" customHeight="1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5" customHeight="1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5" customHeight="1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5" customHeight="1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5" customHeight="1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5" customHeight="1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5" customHeight="1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5" customHeight="1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5" customHeight="1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5" customHeight="1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5" customHeight="1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5" customHeight="1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5" customHeight="1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5" customHeight="1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5" customHeight="1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5" customHeight="1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5" customHeight="1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5" customHeight="1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5" customHeight="1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5" customHeight="1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5" customHeight="1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5" customHeight="1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5" customHeight="1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5" customHeight="1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5" customHeight="1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5" customHeight="1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5" customHeight="1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5" customHeight="1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5" customHeight="1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5" customHeight="1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5" customHeight="1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5" customHeight="1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5" customHeight="1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5" customHeight="1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5" customHeight="1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5" customHeight="1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5" customHeight="1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5" customHeight="1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5" customHeight="1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5" customHeight="1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5" customHeight="1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5" customHeight="1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5" customHeight="1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5" customHeight="1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5" customHeight="1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5" customHeight="1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5" customHeight="1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5" customHeight="1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5" customHeight="1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5" customHeight="1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5" customHeight="1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5" customHeight="1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5" customHeight="1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5" customHeight="1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5" customHeight="1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5" customHeight="1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5" customHeight="1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5" customHeight="1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5" customHeight="1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5" customHeight="1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5" customHeight="1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5" customHeight="1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5" customHeight="1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5" customHeight="1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5" customHeight="1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5" customHeight="1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5" customHeight="1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5" customHeight="1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5" customHeight="1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5" customHeight="1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5" customHeight="1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5" customHeight="1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5" customHeight="1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5" customHeight="1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5" customHeight="1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5" customHeight="1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5" customHeight="1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5" customHeight="1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5" customHeight="1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5" customHeight="1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5" customHeight="1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5" customHeight="1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5" customHeight="1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5" customHeight="1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5" customHeight="1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5" customHeight="1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5" customHeight="1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5" customHeight="1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5" customHeight="1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5" customHeight="1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5" customHeight="1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5" customHeight="1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5" customHeight="1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5" customHeight="1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5" customHeight="1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5" customHeight="1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5" customHeight="1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5" customHeight="1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5" customHeight="1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5" customHeight="1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5" customHeight="1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5" customHeight="1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5" customHeight="1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5" customHeight="1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5" customHeight="1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5" customHeight="1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5" customHeight="1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5" customHeight="1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5" customHeight="1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5" customHeight="1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5" customHeight="1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5" customHeight="1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5" customHeight="1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5" customHeight="1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5" customHeight="1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5" customHeight="1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5" customHeight="1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5" customHeight="1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5" customHeight="1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5" customHeight="1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5" customHeight="1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5" customHeight="1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5" customHeight="1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5" customHeight="1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5" customHeight="1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5" customHeight="1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5" customHeight="1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5" customHeight="1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5" customHeight="1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5" customHeight="1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5" customHeight="1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5" customHeight="1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5" customHeight="1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5" customHeight="1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5" customHeight="1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5" customHeight="1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5" customHeight="1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5" customHeight="1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5" customHeight="1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5" customHeight="1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5" customHeight="1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5" customHeight="1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5" customHeight="1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5" customHeight="1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5" customHeight="1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5" customHeight="1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5" customHeight="1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5" customHeight="1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5" customHeight="1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5" customHeight="1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5" customHeight="1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5" customHeight="1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5" customHeight="1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5" customHeight="1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5" customHeight="1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5" customHeight="1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5" customHeight="1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5" customHeight="1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5" customHeight="1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5" customHeight="1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5" customHeight="1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5" customHeight="1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5" customHeight="1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5" customHeight="1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5" customHeight="1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5" customHeight="1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5" customHeight="1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5" customHeight="1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5" customHeight="1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5" customHeight="1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5" customHeight="1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5" customHeight="1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5" customHeight="1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5" customHeight="1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5" customHeight="1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5" customHeight="1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5" customHeight="1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5" customHeight="1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5" customHeight="1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5" customHeight="1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5" customHeight="1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5" customHeight="1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5" customHeight="1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5" customHeight="1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5" customHeight="1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5" customHeight="1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5" customHeight="1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5" customHeight="1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5" customHeight="1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5" customHeight="1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5" customHeight="1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5" customHeight="1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5" customHeight="1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5" customHeight="1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5" customHeight="1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5" customHeight="1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5" customHeight="1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5" customHeight="1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5" customHeight="1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5" customHeight="1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5" customHeight="1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5" customHeight="1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5" customHeight="1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5" customHeight="1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5" customHeight="1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5" customHeight="1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5" customHeight="1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5" customHeight="1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5" customHeight="1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5" customHeight="1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5" customHeight="1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5" customHeight="1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5" customHeight="1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5" customHeight="1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5" customHeight="1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5" customHeight="1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5" customHeight="1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5" customHeight="1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5" customHeight="1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5" customHeight="1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5" customHeight="1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5" customHeight="1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5" customHeight="1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5" customHeight="1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5" customHeight="1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5" customHeight="1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5" customHeight="1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5" customHeight="1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5" customHeight="1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5" customHeight="1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5" customHeight="1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5" customHeight="1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5" customHeight="1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5" customHeight="1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5" customHeight="1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5" customHeight="1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5" customHeight="1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5" customHeight="1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5" customHeight="1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5" customHeight="1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5" customHeight="1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5" customHeight="1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5" customHeight="1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5" customHeight="1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5" customHeight="1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5" customHeight="1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5" customHeight="1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5" customHeight="1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5" customHeight="1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5" customHeight="1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5" customHeight="1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5" customHeight="1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5" customHeight="1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5" customHeight="1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5" customHeight="1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5" customHeight="1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5" customHeight="1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5" customHeight="1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5" customHeight="1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5" customHeight="1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5" customHeight="1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5" customHeight="1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5" customHeight="1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5" customHeight="1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5" customHeight="1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5" customHeight="1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5" customHeight="1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5" customHeight="1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5" customHeight="1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5" customHeight="1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5" customHeight="1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5" customHeight="1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5" customHeight="1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5" customHeight="1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5" customHeight="1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5" customHeight="1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5" customHeight="1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5" customHeight="1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5" customHeight="1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5" customHeight="1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5" customHeight="1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5" customHeight="1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5" customHeight="1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5" customHeight="1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5" customHeight="1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5" customHeight="1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5" customHeight="1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5" customHeight="1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5" customHeight="1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5" customHeight="1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5" customHeight="1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5" customHeight="1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5" customHeight="1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5" customHeight="1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5" customHeight="1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5" customHeight="1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5" customHeight="1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5" customHeight="1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5" customHeight="1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5" customHeight="1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5" customHeight="1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5" customHeight="1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5" customHeight="1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5" customHeight="1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5" customHeight="1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5" customHeight="1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5" customHeight="1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5" customHeight="1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5" customHeight="1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5" customHeight="1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5" customHeight="1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5" customHeight="1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5" customHeight="1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5" customHeight="1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5" customHeight="1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5" customHeight="1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5" customHeight="1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5" customHeight="1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5" customHeight="1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5" customHeight="1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5" customHeight="1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 ht="15" customHeight="1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1:25" ht="15" customHeight="1">
      <c r="B5" s="1"/>
      <c r="C5" s="1" t="s">
        <v>436</v>
      </c>
      <c r="D5" s="1" t="s">
        <v>437</v>
      </c>
      <c r="E5" s="1" t="s">
        <v>438</v>
      </c>
      <c r="F5" s="1" t="s">
        <v>439</v>
      </c>
      <c r="G5" s="1" t="s">
        <v>440</v>
      </c>
      <c r="H5" s="1" t="s">
        <v>441</v>
      </c>
      <c r="I5" s="1" t="s">
        <v>442</v>
      </c>
      <c r="J5" s="1" t="s">
        <v>443</v>
      </c>
      <c r="K5" s="1" t="s">
        <v>444</v>
      </c>
      <c r="L5" s="1" t="s">
        <v>445</v>
      </c>
      <c r="M5" s="1" t="s">
        <v>446</v>
      </c>
      <c r="N5" s="1" t="s">
        <v>447</v>
      </c>
    </row>
    <row r="6" spans="1:25" ht="15" customHeight="1">
      <c r="B6" s="1" t="s">
        <v>448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spans="1:25" ht="15" customHeight="1">
      <c r="B7" s="1" t="s">
        <v>449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spans="1:25" ht="15" customHeight="1">
      <c r="B8" s="1" t="s">
        <v>450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spans="1:25" ht="15" customHeight="1">
      <c r="A9" s="5"/>
      <c r="B9" s="6" t="s">
        <v>451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ColWidth="9" defaultRowHeight="15"/>
  <cols>
    <col min="1" max="1" width="9.7109375" customWidth="1"/>
  </cols>
  <sheetData>
    <row r="1" spans="1:1">
      <c r="A1" t="s">
        <v>452</v>
      </c>
    </row>
    <row r="2" spans="1:1">
      <c r="A2" t="s">
        <v>453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2024-06-12T10:41:00Z</dcterms:created>
  <dcterms:modified xsi:type="dcterms:W3CDTF">2024-12-20T08:51:02Z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