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210"/>
  </bookViews>
  <sheets>
    <sheet name="NEW BUSINES" sheetId="1" r:id="rId1"/>
    <sheet name="Target" sheetId="5" r:id="rId2"/>
    <sheet name="ENDORSMENTS" sheetId="2" r:id="rId3"/>
    <sheet name="ProActiv" sheetId="3" r:id="rId4"/>
    <sheet name="Monthly Sales" sheetId="4" r:id="rId5"/>
    <sheet name="Query1" sheetId="6" r:id="rId6"/>
  </sheets>
  <definedNames>
    <definedName name="_xlnm._FilterDatabase" localSheetId="0" hidden="1">'NEW BUSINES'!$A$2:$AE$126</definedName>
    <definedName name="ExternalData_1" localSheetId="5" hidden="1">Query1!$A$1:$A$2</definedName>
  </definedNames>
  <calcPr calcId="144525"/>
</workbook>
</file>

<file path=xl/connections.xml><?xml version="1.0" encoding="utf-8"?>
<connections xmlns="http://schemas.openxmlformats.org/spreadsheetml/2006/main">
  <connection id="1" name="Query - APIKey" description="Connection to the 'APIKey' query in the workbook." type="5" background="1" refreshedVersion="2" saveData="1">
    <dbPr connection="Provider=Microsoft.Mashup.OleDb.1;Data Source=$Workbook$;Location=APIKey;Extended Properties=&quot;&quot;" command="SELECT * FROM [APIKey]" commandType="2"/>
  </connection>
  <connection id="2" name="Query - DatabaseID" description="Connection to the 'DatabaseID' query in the workbook." type="5" background="1" refreshedVersion="2" saveData="1">
    <dbPr connection="Provider=Microsoft.Mashup.OleDb.1;Data Source=$Workbook$;Location=DatabaseID;Extended Properties=&quot;&quot;" command="SELECT * FROM [DatabaseID]" commandType="2"/>
  </connection>
  <connection id="3" name="Query - Query1" description="Connection to the 'Query1' query in the workbook." type="5" background="1" refreshedVersion="2" saveData="1">
    <dbPr connection="Provider=Microsoft.Mashup.OleDb.1;Data Source=$Workbook$;Location=Query1;Extended Properties=&quot;&quot;" command="SELECT * FROM [Query1]" commandType="2"/>
  </connection>
</connections>
</file>

<file path=xl/sharedStrings.xml><?xml version="1.0" encoding="utf-8"?>
<sst xmlns="http://schemas.openxmlformats.org/spreadsheetml/2006/main" count="2055" uniqueCount="454">
  <si>
    <t>Client Name</t>
  </si>
  <si>
    <t>Cover Type</t>
  </si>
  <si>
    <t>Product_name</t>
  </si>
  <si>
    <t>Product</t>
  </si>
  <si>
    <t>Basic Premium</t>
  </si>
  <si>
    <t>5% CBHI</t>
  </si>
  <si>
    <t>Admin fees</t>
  </si>
  <si>
    <t>Total insured Premium</t>
  </si>
  <si>
    <t>Fund Amount</t>
  </si>
  <si>
    <t>Total Premium</t>
  </si>
  <si>
    <t>Average Premium</t>
  </si>
  <si>
    <t>No. of staffs</t>
  </si>
  <si>
    <t>Dependents</t>
  </si>
  <si>
    <t>Total lives</t>
  </si>
  <si>
    <t>Start Date</t>
  </si>
  <si>
    <t>End Date</t>
  </si>
  <si>
    <t>Start Month</t>
  </si>
  <si>
    <t>Start Year</t>
  </si>
  <si>
    <t>Channel</t>
  </si>
  <si>
    <t>Intermediary name</t>
  </si>
  <si>
    <t>Intermediary company</t>
  </si>
  <si>
    <t>Owner</t>
  </si>
  <si>
    <t>First issued quote date</t>
  </si>
  <si>
    <t>Aging</t>
  </si>
  <si>
    <t>Average Number of Dependents per Employee</t>
  </si>
  <si>
    <t>Client Segment</t>
  </si>
  <si>
    <t xml:space="preserve">PRIME BIODIVERSITY CONSERVATION </t>
  </si>
  <si>
    <t>New Insured</t>
  </si>
  <si>
    <t>Health</t>
  </si>
  <si>
    <t>Direct</t>
  </si>
  <si>
    <t>Carmen</t>
  </si>
  <si>
    <t>Eden Care</t>
  </si>
  <si>
    <t>Carmen, Shadrack &amp; Angelos</t>
  </si>
  <si>
    <t>RWANDA TRADING COMPANY</t>
  </si>
  <si>
    <t>Broker</t>
  </si>
  <si>
    <t>Alliance insurance Broker</t>
  </si>
  <si>
    <t>MAYFAIR INSURANCE RWANDA LTD</t>
  </si>
  <si>
    <t>GAGA AUTO SPARE PARTS LTD</t>
  </si>
  <si>
    <t>Agent</t>
  </si>
  <si>
    <t>Anita</t>
  </si>
  <si>
    <t>HABUMUGISHA JEAN</t>
  </si>
  <si>
    <t>Ascoma</t>
  </si>
  <si>
    <t>UWERA JACQUELINE</t>
  </si>
  <si>
    <t>NSABIMANA CHRISTIAN</t>
  </si>
  <si>
    <t>Ylabs Studio Ltd</t>
  </si>
  <si>
    <t>ProActiv</t>
  </si>
  <si>
    <t>30/06/2024</t>
  </si>
  <si>
    <t>Bilie-ve co Ltd</t>
  </si>
  <si>
    <t>JIBU CORPORATE RWANDA LTD</t>
  </si>
  <si>
    <t>Bilive it co Ltd</t>
  </si>
  <si>
    <t>UMUGISHA KWIZERA LILIOSE</t>
  </si>
  <si>
    <t>Bishosi</t>
  </si>
  <si>
    <t>Bishosi &amp; Doreen</t>
  </si>
  <si>
    <t>ESPARTNERS</t>
  </si>
  <si>
    <t>NORWEGIAN PEOPLE'S AID</t>
  </si>
  <si>
    <t>FADA</t>
  </si>
  <si>
    <t>AFRICA MOBILITY SOLUTIONS RWANDA LTD</t>
  </si>
  <si>
    <t>2025-04-31</t>
  </si>
  <si>
    <t xml:space="preserve">GREEN TOURS TRAVEL LTD </t>
  </si>
  <si>
    <t>Norrsken Pool</t>
  </si>
  <si>
    <t>UNLOCK IMPACT Ltd</t>
  </si>
  <si>
    <t>CHALLENGES CONSULTING RWANDA Limited</t>
  </si>
  <si>
    <t>KABISA GO ELECTRIC</t>
  </si>
  <si>
    <t xml:space="preserve">CZ RWANDA LTD </t>
  </si>
  <si>
    <t>Renew/Fund</t>
  </si>
  <si>
    <t>Renewals</t>
  </si>
  <si>
    <t>TINOTENDA KAHONDE</t>
  </si>
  <si>
    <t>TRES INFRASTRUCTURE LTD</t>
  </si>
  <si>
    <t>WIREDIN LTD</t>
  </si>
  <si>
    <t>Fund</t>
  </si>
  <si>
    <t>Carmen&amp;Frank</t>
  </si>
  <si>
    <t>Deriv (RW) Ltd</t>
  </si>
  <si>
    <t>LOLC UNGUKA FINANCE</t>
  </si>
  <si>
    <t>Connect</t>
  </si>
  <si>
    <t>ROMALO LTD</t>
  </si>
  <si>
    <t>Cuzo</t>
  </si>
  <si>
    <t>PLASTIC SURGERY AND BEAUTY CLINICS</t>
  </si>
  <si>
    <t>31/12/2024</t>
  </si>
  <si>
    <t>PROSPER NSENGIYUMVA</t>
  </si>
  <si>
    <t>AURA ENTERPRISES LTD</t>
  </si>
  <si>
    <t>JOSUE IBULUNGU</t>
  </si>
  <si>
    <t>KIVU CHOICE Limited- FUND MANAGEMENT</t>
  </si>
  <si>
    <t>OPENFIELD RWANDA Limited</t>
  </si>
  <si>
    <t>HIRWA MICHAEL DYLAN</t>
  </si>
  <si>
    <t xml:space="preserve">MUA </t>
  </si>
  <si>
    <t>MBAKUYE GESY BECKET</t>
  </si>
  <si>
    <t>CNR TRANSPORT LTD</t>
  </si>
  <si>
    <t>Renew/Insured</t>
  </si>
  <si>
    <t>iHELP Ltd</t>
  </si>
  <si>
    <t>MUNYANGEYO MUCINYA LANDRY</t>
  </si>
  <si>
    <t>MUNYEMANA SULTAN ERIC</t>
  </si>
  <si>
    <t>HENCE TECHNOLOGIES RWANDA LTD</t>
  </si>
  <si>
    <t>HIGA CAPITAL Ltd</t>
  </si>
  <si>
    <t>Norsken Pool P YOUSEF MOHAMMAD ALBARARI</t>
  </si>
  <si>
    <t>Norsken Pool R  CLARISSE INGABIRE</t>
  </si>
  <si>
    <t>NORSKEN POOL T (MANIRAGUHA JACQUELINE)</t>
  </si>
  <si>
    <t>NORSKEN POOL U (MUKABARANGA SYLVIE</t>
  </si>
  <si>
    <t>NORSKEN POOL U (Chijioke Favour Ihemedu)</t>
  </si>
  <si>
    <t>NORSKEN POOL U (MURENZI ALFRED)</t>
  </si>
  <si>
    <t>Innovative VAS</t>
  </si>
  <si>
    <t>-</t>
  </si>
  <si>
    <t>SHREE COM LTD</t>
  </si>
  <si>
    <t>NORSKEN POOL Y(UWIMANA UMMY)</t>
  </si>
  <si>
    <t>MUTESI SARAH</t>
  </si>
  <si>
    <t>UWERA KELLY WALDA</t>
  </si>
  <si>
    <t>BIO BOGORE GNON DEOLINDA</t>
  </si>
  <si>
    <t>TANYA BHANDARI</t>
  </si>
  <si>
    <t>GAHIZI CHISTELLE</t>
  </si>
  <si>
    <t>JESSICA GASASIRA</t>
  </si>
  <si>
    <t>Norsken Pool P(Ndegeya Cyrile)</t>
  </si>
  <si>
    <t>Doreen</t>
  </si>
  <si>
    <t>PANGEA GROUP LTD</t>
  </si>
  <si>
    <t>KIGALI DERMATOLOGY CENTER LTD</t>
  </si>
  <si>
    <t>UWABEZA FAUSTA</t>
  </si>
  <si>
    <t>Frank</t>
  </si>
  <si>
    <t>Frank &amp; Honoline</t>
  </si>
  <si>
    <t>CHANCEN INTERNATIONAL RWANDA</t>
  </si>
  <si>
    <t>MIGHTY ENGINEERING LLC</t>
  </si>
  <si>
    <t>NEVER AGAIN RWANDA</t>
  </si>
  <si>
    <t>UMUHOZA IKIREZI ANGE DIVINE</t>
  </si>
  <si>
    <t>Norsken Pool S  EL BAHJA HAMID</t>
  </si>
  <si>
    <t>NORSKEN POOL X( MANIRAGABA JEAN PAUL)</t>
  </si>
  <si>
    <t>CCI RWANDA</t>
  </si>
  <si>
    <t>MVEND LIMITED</t>
  </si>
  <si>
    <t>REM LIMITED</t>
  </si>
  <si>
    <t>African Leadership University Rwanda</t>
  </si>
  <si>
    <t>KIGALI CONVENTION CENTER LTD</t>
  </si>
  <si>
    <t>Global Risk</t>
  </si>
  <si>
    <t>SOLID’ AFRICA</t>
  </si>
  <si>
    <t>RWANDA BANKERS ASSOCIATION</t>
  </si>
  <si>
    <t>THREE STONES INTERNATIONAL RWANDA</t>
  </si>
  <si>
    <t>FONDATION PAUL GERIN-LAJOIE</t>
  </si>
  <si>
    <t>ITO EAST AFRICA LTD</t>
  </si>
  <si>
    <t>Honoline</t>
  </si>
  <si>
    <t>TESTSOLUTIONS RWANDA LTD</t>
  </si>
  <si>
    <t>Innocent Ntwali</t>
  </si>
  <si>
    <t>YLABS STUDIO LTD</t>
  </si>
  <si>
    <t>RICEM</t>
  </si>
  <si>
    <t>Mika</t>
  </si>
  <si>
    <t>Mika &amp; Sandrina</t>
  </si>
  <si>
    <t>ISHIMWE SHANICE</t>
  </si>
  <si>
    <t>IST- AFRICA Limited</t>
  </si>
  <si>
    <t>VUBA VUBA AFRICA LTD</t>
  </si>
  <si>
    <t>ICDL</t>
  </si>
  <si>
    <t>Olea</t>
  </si>
  <si>
    <t>TLC SPACE</t>
  </si>
  <si>
    <t>Pauline</t>
  </si>
  <si>
    <t>Michel &amp; Pauline</t>
  </si>
  <si>
    <t>EDUCATE</t>
  </si>
  <si>
    <t>Safe Insurance broker</t>
  </si>
  <si>
    <t>Norsken pool V (NDOLI AIME PATRICK)</t>
  </si>
  <si>
    <t>Sandrina</t>
  </si>
  <si>
    <t>MANIRAKIZA ERICK</t>
  </si>
  <si>
    <t>AXIOM NETWORKS LTD</t>
  </si>
  <si>
    <t>Zamara</t>
  </si>
  <si>
    <t>AOS LTD</t>
  </si>
  <si>
    <t>JASIRI SIMBA COHORT</t>
  </si>
  <si>
    <t>CZ RWANDA LTD</t>
  </si>
  <si>
    <t>Three Stones International Rwanda Ltd</t>
  </si>
  <si>
    <t>RUTINDUKANAMUREGO ROGER MARC</t>
  </si>
  <si>
    <t>NIYONSHUTI LAMBERT</t>
  </si>
  <si>
    <t xml:space="preserve">KFW </t>
  </si>
  <si>
    <t>BAZIRA JEAN LEON HERTIER</t>
  </si>
  <si>
    <t>ICDL AFRICA LTD</t>
  </si>
  <si>
    <t>ISHUSHO Limited</t>
  </si>
  <si>
    <t>EDPU AFRICA Limited</t>
  </si>
  <si>
    <t>AFRICAN LEADERSHIP UNIVERSITY LTD</t>
  </si>
  <si>
    <t>BALLISTIC BURGERS LTD</t>
  </si>
  <si>
    <t>TEK EXPERTS RWANDA LTD</t>
  </si>
  <si>
    <t>MARIUS KAMUGISHA</t>
  </si>
  <si>
    <t>COMZAFRICA RWANDA LIMITED</t>
  </si>
  <si>
    <t>FAITH MBABAZI (Norrsken Pool)</t>
  </si>
  <si>
    <t>DOVE INTERNATIONAL MONTESSORI SCHOOL Ltd</t>
  </si>
  <si>
    <t>FEMINIST ACTION DEVELOPMENT AMBITION</t>
  </si>
  <si>
    <t>GARDAWORLD (RWANDA) Ltd</t>
  </si>
  <si>
    <t>NSENGIYUMVA VINCENT</t>
  </si>
  <si>
    <t>KIVU CHOICE LIMITED</t>
  </si>
  <si>
    <t>RON WEISS</t>
  </si>
  <si>
    <t>ACME TECHNOLOGIES LTD</t>
  </si>
  <si>
    <t>STRADH Ltd - B</t>
  </si>
  <si>
    <t>NIYITANGA KWIZERA SYLVIE</t>
  </si>
  <si>
    <t>COMMUNITY BASED SOCIOTHERAPY</t>
  </si>
  <si>
    <t>Target</t>
  </si>
  <si>
    <t>Patrick &amp; Liliane</t>
  </si>
  <si>
    <t>NAMES</t>
  </si>
  <si>
    <t>DAYS</t>
  </si>
  <si>
    <t>Annual Premium</t>
  </si>
  <si>
    <t>Prorated Premium</t>
  </si>
  <si>
    <t>CBHI</t>
  </si>
  <si>
    <t>Admin</t>
  </si>
  <si>
    <t>Type</t>
  </si>
  <si>
    <t>KFW</t>
  </si>
  <si>
    <t>Ndayiziga Francois (M+3)</t>
  </si>
  <si>
    <t>Endorsement</t>
  </si>
  <si>
    <t>Farouq Faddah (M)</t>
  </si>
  <si>
    <t>DIABATE NATHANAELLE (M)</t>
  </si>
  <si>
    <t>Frank Kabagambe (M+4)</t>
  </si>
  <si>
    <t>Rudasingwa Umutoniwase Sabine (M)</t>
  </si>
  <si>
    <t>Ibarushimpuwe Patrick (M)</t>
  </si>
  <si>
    <t>KEZA Nelly (M)</t>
  </si>
  <si>
    <t>Kyobe Aziz (M+1)</t>
  </si>
  <si>
    <t>Shyaka Confiance (M)</t>
  </si>
  <si>
    <t>KEZA Nikita (M)</t>
  </si>
  <si>
    <t>Itangishaka Abdoul Karim</t>
  </si>
  <si>
    <t xml:space="preserve">Mutagawa Cyizere Carine Cynthia </t>
  </si>
  <si>
    <t>Kado Orlane Marvella</t>
  </si>
  <si>
    <t>Rwanda Bankers Association</t>
  </si>
  <si>
    <t>Eric Niyongira (M)</t>
  </si>
  <si>
    <t>COMMUNITY BASED SOCIOLTHERAPY</t>
  </si>
  <si>
    <t>NYAMPATSI Emmanuel (M+5)</t>
  </si>
  <si>
    <t>AMANI NKUSI Gilbert (M+5)</t>
  </si>
  <si>
    <t>African Leadership University</t>
  </si>
  <si>
    <t>386 Students</t>
  </si>
  <si>
    <t>Tek Experts Ltd</t>
  </si>
  <si>
    <t>50 employees</t>
  </si>
  <si>
    <t>EDPU AFRICA LTD</t>
  </si>
  <si>
    <t>Assoumin Abahire (M)</t>
  </si>
  <si>
    <t>Deudonne Majyambere (M+3)</t>
  </si>
  <si>
    <t>PHIONAH MURERWA</t>
  </si>
  <si>
    <t>NOELLA UWITUYESE</t>
  </si>
  <si>
    <t xml:space="preserve">ZAWADI MUKAZI </t>
  </si>
  <si>
    <t>FELIX IZERE</t>
  </si>
  <si>
    <t>BILL RUGERO</t>
  </si>
  <si>
    <t>GLORIA NIYONKURU</t>
  </si>
  <si>
    <t>IMMACULEE INGABIRE</t>
  </si>
  <si>
    <t>JOHNSON FIGO</t>
  </si>
  <si>
    <t>BERLIS KALISA</t>
  </si>
  <si>
    <t>LILIAN NSHUTI</t>
  </si>
  <si>
    <t>LILIAN IRADUKUNDA</t>
  </si>
  <si>
    <t>MIRIAM DUSABE</t>
  </si>
  <si>
    <t>PAUL NCOGOZA</t>
  </si>
  <si>
    <t>RENE MUVANDIMWE</t>
  </si>
  <si>
    <t>MARIAM RWIBUTSO</t>
  </si>
  <si>
    <t>KEVIN IMPUNDU</t>
  </si>
  <si>
    <t>SANDRINE MFURANZIMA</t>
  </si>
  <si>
    <t>DIVINE UMUTONIWASE</t>
  </si>
  <si>
    <t>VICTOR KARANGWA</t>
  </si>
  <si>
    <t>CLOVIS NIYONSENGA</t>
  </si>
  <si>
    <t>SANDRINE UMULISA</t>
  </si>
  <si>
    <t xml:space="preserve">CHARLES TUYIZERE </t>
  </si>
  <si>
    <t>SOTHER ABIRIHO</t>
  </si>
  <si>
    <t>SAMSON IRAVUGA</t>
  </si>
  <si>
    <t>SARAH NIRAGIRE</t>
  </si>
  <si>
    <t>HOWARD MUCYO</t>
  </si>
  <si>
    <t>PLACIDE NDAYISHIMIYE</t>
  </si>
  <si>
    <t>HASSAN RUGUMIRIZA</t>
  </si>
  <si>
    <t>FABRICE NSANZINTWARI</t>
  </si>
  <si>
    <t>LILIAN UMUTESI</t>
  </si>
  <si>
    <t>EMMANUELLA UMUKUNDWA</t>
  </si>
  <si>
    <t>PRINCE SANO</t>
  </si>
  <si>
    <t>CEDRICK ALAIN MANZI</t>
  </si>
  <si>
    <t>CLAUDE NSHIMIYIMANA</t>
  </si>
  <si>
    <t>HENRIETTE ISHIMWE</t>
  </si>
  <si>
    <t>AUDREY MURENGEZI</t>
  </si>
  <si>
    <t>MARIUS TUYISHIME</t>
  </si>
  <si>
    <t>CHRISTIAN MANZI</t>
  </si>
  <si>
    <t>PAUL NDABARASA</t>
  </si>
  <si>
    <t>ANGE AKANIGI</t>
  </si>
  <si>
    <t>PASCALINE MUKESHIMANA</t>
  </si>
  <si>
    <t>EMELYNE INGABIRE</t>
  </si>
  <si>
    <t>GLORIA UWAMAHORO</t>
  </si>
  <si>
    <t>SAMANTHA UMWALI</t>
  </si>
  <si>
    <t>PRINCE MURENZI</t>
  </si>
  <si>
    <t>NADJIMA ISHIMWE</t>
  </si>
  <si>
    <t>CHARLENE ISIMBI</t>
  </si>
  <si>
    <t>PATRICK EMMERY MUNYANKINDI</t>
  </si>
  <si>
    <t>Daisy Iribagiza</t>
  </si>
  <si>
    <t>Armel Mugenzi</t>
  </si>
  <si>
    <t>EDPU AFRICA LIMITED</t>
  </si>
  <si>
    <t>FEESTOTALManishimwe Mucyo Yvonnr</t>
  </si>
  <si>
    <t>Jospin Byishimo</t>
  </si>
  <si>
    <t>GARDAWORLD RWANDA LTD</t>
  </si>
  <si>
    <t>Jared Okuta(M+4)</t>
  </si>
  <si>
    <t>Innocent Ndeke Chiemezuwo</t>
  </si>
  <si>
    <t>Gilbert Nkuru</t>
  </si>
  <si>
    <t>Arnold Kagara</t>
  </si>
  <si>
    <t>Chrispine Ruzibiza</t>
  </si>
  <si>
    <t>Doreen UMURERWA</t>
  </si>
  <si>
    <t>Christian Turatsinze</t>
  </si>
  <si>
    <t>Vanessa Niyigena</t>
  </si>
  <si>
    <t>Aimee Pacifique</t>
  </si>
  <si>
    <t>Christa -Bella Isaro</t>
  </si>
  <si>
    <t>Jean Michel Mugabo</t>
  </si>
  <si>
    <t>Joseph Izabayo</t>
  </si>
  <si>
    <t>Sandra Uwase</t>
  </si>
  <si>
    <t>Rachel Uwineza</t>
  </si>
  <si>
    <t>CHALLENGES CONSULTING RWANDA LTD</t>
  </si>
  <si>
    <t>Sheila Uwase</t>
  </si>
  <si>
    <t>Rachel Mugwaneza (M+3)</t>
  </si>
  <si>
    <t>Fausta Mutoni (M)</t>
  </si>
  <si>
    <t>ISHUSHO LIMITED</t>
  </si>
  <si>
    <t>Ntirenganya Gedeon (M+4)</t>
  </si>
  <si>
    <t>Kayiranga Ephrem (M+1)</t>
  </si>
  <si>
    <t>Peter Hashaka(M)</t>
  </si>
  <si>
    <t>Pascal Rukundo(M+4)</t>
  </si>
  <si>
    <t>Chimene Murorunkwere(M)</t>
  </si>
  <si>
    <t>Ingabire Teta Lilian(M)</t>
  </si>
  <si>
    <t>DERIV (RW) LTD</t>
  </si>
  <si>
    <t>Aristide Inkindi (M)</t>
  </si>
  <si>
    <t>Dorcas Umutoniwase(M+2)</t>
  </si>
  <si>
    <t>Heritier Shema(M)</t>
  </si>
  <si>
    <t>Mellissa Douce Mahoro(M+3)</t>
  </si>
  <si>
    <t>AFRICAN LEADERSHIP UNIVERSITY RWANDA LTD</t>
  </si>
  <si>
    <t>445 Students</t>
  </si>
  <si>
    <t>Mukasharangabo Donatille(M+4)</t>
  </si>
  <si>
    <t>Sonny Eligado Francisco</t>
  </si>
  <si>
    <t>Karim Safari (M+5)</t>
  </si>
  <si>
    <t>Olivier I ryamukuru (M)</t>
  </si>
  <si>
    <t>Jacques Kagabo (M+3)</t>
  </si>
  <si>
    <t>Leonard shumbusho(M+2)</t>
  </si>
  <si>
    <t>PROSSY ARINAITWE (Dependent)</t>
  </si>
  <si>
    <t>PHIONAH KIRABO (Dependent)</t>
  </si>
  <si>
    <t>JANE MUKAMUTARA (Dependent)</t>
  </si>
  <si>
    <t>CHANCEN INTERNATIONAL</t>
  </si>
  <si>
    <t>Rachel Uwera</t>
  </si>
  <si>
    <t>Fiona Twembi</t>
  </si>
  <si>
    <t>Chella Umuhoza</t>
  </si>
  <si>
    <t>Joselyne Ingabire</t>
  </si>
  <si>
    <t>Tasha Teta</t>
  </si>
  <si>
    <t>Smayah Munezero</t>
  </si>
  <si>
    <t>Obed Habyarimana</t>
  </si>
  <si>
    <t>Bonie Mbabazi</t>
  </si>
  <si>
    <t>Henriette Kalinganire</t>
  </si>
  <si>
    <t>Benitha Ishimwe</t>
  </si>
  <si>
    <t>Dorian Nyiringabo</t>
  </si>
  <si>
    <t>Alex Kakira</t>
  </si>
  <si>
    <t>Celeste Ineza</t>
  </si>
  <si>
    <t>Derrick Munezero</t>
  </si>
  <si>
    <t>Elysee Mutanganda</t>
  </si>
  <si>
    <t>Christian Ishimwe</t>
  </si>
  <si>
    <t>Bonheur Ngezayo</t>
  </si>
  <si>
    <t>Derick Furaha</t>
  </si>
  <si>
    <t>Ninette Isimbi</t>
  </si>
  <si>
    <t>Shanice Agasaro</t>
  </si>
  <si>
    <t>Travis Ntamvutsa</t>
  </si>
  <si>
    <t>Norbert Gihozo</t>
  </si>
  <si>
    <t>Florine Shima</t>
  </si>
  <si>
    <t>Immaculee Beza</t>
  </si>
  <si>
    <t>Honore Rugema</t>
  </si>
  <si>
    <t>Eric Mwizerwa</t>
  </si>
  <si>
    <t>Kailash Rao</t>
  </si>
  <si>
    <t>Gregoire Vuningoma</t>
  </si>
  <si>
    <t>Tresor Urazirikanye</t>
  </si>
  <si>
    <t>Colbert Mucyo</t>
  </si>
  <si>
    <t>Joyce Iradukunda</t>
  </si>
  <si>
    <t>Ange Uwase</t>
  </si>
  <si>
    <t>Tracy Kabanyana</t>
  </si>
  <si>
    <t>Kevine Uwera</t>
  </si>
  <si>
    <t>Enatha Umuraza</t>
  </si>
  <si>
    <t>Nadine Santha Isimbi</t>
  </si>
  <si>
    <t>Steven Kagame</t>
  </si>
  <si>
    <t>Ghandi Ineza</t>
  </si>
  <si>
    <t>Joseph Manigaba</t>
  </si>
  <si>
    <t>Nancy Iradukunda</t>
  </si>
  <si>
    <t>Ketsia Mutabazi</t>
  </si>
  <si>
    <t>Isaac Nkusi</t>
  </si>
  <si>
    <t>Arsene Munyangabe</t>
  </si>
  <si>
    <t>Hamza Ndagano</t>
  </si>
  <si>
    <t>Jerry Kennedy</t>
  </si>
  <si>
    <t>Samuel Safari</t>
  </si>
  <si>
    <t>Maurice Niyonzima</t>
  </si>
  <si>
    <t>Nicole Uwajeneza</t>
  </si>
  <si>
    <t>Danny Manzi</t>
  </si>
  <si>
    <t>Fabrice Kayiranga</t>
  </si>
  <si>
    <t>Emmanuel Nkundiye</t>
  </si>
  <si>
    <t>DOVE INTERNATIONAL MONTESSORI SCHOOL</t>
  </si>
  <si>
    <t>PIERRINE UWURUKUNDO(M)</t>
  </si>
  <si>
    <t>Joyce Dusabe(M)</t>
  </si>
  <si>
    <t>Fabiola Uwineza Benimana(M)</t>
  </si>
  <si>
    <t>Jean Pierre Murama (M+3)</t>
  </si>
  <si>
    <t>30/10/2024</t>
  </si>
  <si>
    <t>NORWEGIAN PEOPLE’S AID</t>
  </si>
  <si>
    <t>Gakwandi Theodomir (M+5)</t>
  </si>
  <si>
    <t>AXIOM NETWORK LTD</t>
  </si>
  <si>
    <t>Bahati Bonaventure(M+2)</t>
  </si>
  <si>
    <t>RWANDA TRADING COMPANY LTD</t>
  </si>
  <si>
    <t xml:space="preserve">Nduwayezu Parfait(M+3) to (M+4) </t>
  </si>
  <si>
    <t>JIBU</t>
  </si>
  <si>
    <t>Muhoza Eugene(M+3)</t>
  </si>
  <si>
    <t>Mvuyekure Bosco(M)</t>
  </si>
  <si>
    <t>Nshimiyimana Joel(M)</t>
  </si>
  <si>
    <t>AFRICA GREEN MOBILITY SOLUTION</t>
  </si>
  <si>
    <t>ODHIAMBO HILLARY GAI (M+4)</t>
  </si>
  <si>
    <t>Kibanga Sun Erna (M)</t>
  </si>
  <si>
    <t>Hagenimana Eric (M)</t>
  </si>
  <si>
    <t>INNOVATIVE VAS</t>
  </si>
  <si>
    <t>Umutoni Denyse(M)</t>
  </si>
  <si>
    <t>Richard Murindanyi(M+1) to (M+2)</t>
  </si>
  <si>
    <t>Erick Ndababonye(M+1) to (M+2)</t>
  </si>
  <si>
    <t>Ishimwe Naomi(M+1) to (M+2)</t>
  </si>
  <si>
    <t>ES PARTNERS</t>
  </si>
  <si>
    <t>SHYAKA F. Revocatus(M+3)</t>
  </si>
  <si>
    <t>Christian KITUMAINI (M+1)</t>
  </si>
  <si>
    <t>AKANTORANA JULIUS(M)</t>
  </si>
  <si>
    <t>Isimbi Afsana(M)</t>
  </si>
  <si>
    <t>MAYFAIR INSURANCE COMPANY RWANDA LTD</t>
  </si>
  <si>
    <t>Kayitare Amin(M)</t>
  </si>
  <si>
    <t>HIGA CAPITAL LTD</t>
  </si>
  <si>
    <t>Serge Priam Nsanzineza's dependent</t>
  </si>
  <si>
    <t>Rudasumbwa Patrick</t>
  </si>
  <si>
    <t>Evan Rubibi(M) to (M+1)</t>
  </si>
  <si>
    <t>Alexis Ruhumuriza (M) to (M+1)</t>
  </si>
  <si>
    <t>Babie Umwali(M+4) to (M+5)</t>
  </si>
  <si>
    <t>Vanessa Umutoniwase (M)</t>
  </si>
  <si>
    <t>Samuel Niyonzima (M)</t>
  </si>
  <si>
    <t>Joyce Mahoro (M)</t>
  </si>
  <si>
    <t>Aime Placide Muhire (M)</t>
  </si>
  <si>
    <t>Anka Christella Nikuze (M)</t>
  </si>
  <si>
    <t>Fabien Muhigirwa(M)</t>
  </si>
  <si>
    <t>Joyeuse Manishimwe(M)</t>
  </si>
  <si>
    <t>Josee Ibyishaka(M)</t>
  </si>
  <si>
    <t>Ainee Parfaite Tuyishimire(M)</t>
  </si>
  <si>
    <t>Constantin Uwiringiyimana(M)</t>
  </si>
  <si>
    <t>Eliezel Niyonkuru(M)</t>
  </si>
  <si>
    <t>Jean de Dieu Nteziryayo(M)</t>
  </si>
  <si>
    <t>Didier Byamukama(M)</t>
  </si>
  <si>
    <t>Candide Umurunga Umutoni(M)</t>
  </si>
  <si>
    <t>Christophe Muvunyi(M)</t>
  </si>
  <si>
    <t>Emmanuel Nsabimana(M)</t>
  </si>
  <si>
    <t>Aline ihirwe Uwase (M+2)</t>
  </si>
  <si>
    <t>Consolee Nyiraneza (M+2)</t>
  </si>
  <si>
    <t>Gentille Umutoni (M+2)</t>
  </si>
  <si>
    <t>Diane Ishimwe(Dependent)</t>
  </si>
  <si>
    <t>Owen Dawson Byagatonda(Dependent)</t>
  </si>
  <si>
    <t>Munyaneza David(M+2) to (M+3)</t>
  </si>
  <si>
    <t>Hakizimana Augustin(M+3) to (M+4)</t>
  </si>
  <si>
    <t>Bagorozi Ndimurukundo Mike(M+3)</t>
  </si>
  <si>
    <t>MVEND LTD</t>
  </si>
  <si>
    <t>Safari Francois(M+2)</t>
  </si>
  <si>
    <t>Harindintwari Emmanuel(M+6)</t>
  </si>
  <si>
    <t>Nzayisenga Antoine(M+4</t>
  </si>
  <si>
    <t>Atete Theodette Muberantwari(M)</t>
  </si>
  <si>
    <t>Premium</t>
  </si>
  <si>
    <t>Month</t>
  </si>
  <si>
    <t>Policies</t>
  </si>
  <si>
    <t>https://drive.google.com/drive/u/0/folders/1zLG-YyUJVqZB5-Lznqz8LzfhkqrH2iOU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</si>
  <si>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</si>
  <si>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</si>
  <si>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</si>
  <si>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</si>
  <si>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</si>
  <si>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</si>
  <si>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</si>
  <si>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</si>
  <si>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</si>
  <si>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</si>
  <si>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</si>
  <si>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</si>
  <si>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New Sales</t>
  </si>
  <si>
    <t>Pro-rated Sales</t>
  </si>
  <si>
    <t>ProActiv Sales</t>
  </si>
  <si>
    <t>TOTAL SALES</t>
  </si>
  <si>
    <t>Query1</t>
  </si>
  <si>
    <t/>
  </si>
</sst>
</file>

<file path=xl/styles.xml><?xml version="1.0" encoding="utf-8"?>
<styleSheet xmlns="http://schemas.openxmlformats.org/spreadsheetml/2006/main" xmlns:xr9="http://schemas.microsoft.com/office/spreadsheetml/2016/revision9">
  <numFmts count="10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\ #\ ###\ ###"/>
    <numFmt numFmtId="178" formatCode="_(* #,##0_);_(* \(#,##0\);_(* &quot;-&quot;??_);_(@_)"/>
    <numFmt numFmtId="179" formatCode="dd/mm/yyyy"/>
    <numFmt numFmtId="180" formatCode="0.00_);[Red]\(0.00\)"/>
    <numFmt numFmtId="181" formatCode="m/d/yyyy;@"/>
    <numFmt numFmtId="182" formatCode="yyyy\-mm\-dd"/>
  </numFmts>
  <fonts count="3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1"/>
      <color theme="1"/>
      <name val="Century Gothic"/>
      <charset val="134"/>
    </font>
    <font>
      <sz val="11"/>
      <color theme="1"/>
      <name val="Century Gothic"/>
      <charset val="134"/>
    </font>
    <font>
      <sz val="11"/>
      <color theme="1"/>
      <name val="Calibri"/>
      <charset val="134"/>
    </font>
    <font>
      <u/>
      <sz val="11"/>
      <color theme="1"/>
      <name val="Century Gothic"/>
      <charset val="134"/>
    </font>
    <font>
      <u/>
      <sz val="11"/>
      <color theme="1"/>
      <name val="Calibri"/>
      <charset val="134"/>
    </font>
    <font>
      <sz val="11"/>
      <color rgb="FF000000"/>
      <name val="Century Gothic"/>
      <charset val="134"/>
    </font>
    <font>
      <sz val="11"/>
      <color rgb="FF000000"/>
      <name val="&quot;Century Gothic&quot;"/>
      <charset val="134"/>
    </font>
    <font>
      <sz val="11"/>
      <color rgb="FFFF0000"/>
      <name val="Century Gothic"/>
      <charset val="134"/>
    </font>
    <font>
      <sz val="9.6"/>
      <color rgb="FF202223"/>
      <name val="Segoe U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5F7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1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20" applyNumberFormat="0" applyAlignment="0" applyProtection="0">
      <alignment vertical="center"/>
    </xf>
    <xf numFmtId="0" fontId="22" fillId="8" borderId="21" applyNumberFormat="0" applyAlignment="0" applyProtection="0">
      <alignment vertical="center"/>
    </xf>
    <xf numFmtId="0" fontId="23" fillId="8" borderId="20" applyNumberFormat="0" applyAlignment="0" applyProtection="0">
      <alignment vertical="center"/>
    </xf>
    <xf numFmtId="0" fontId="24" fillId="9" borderId="22" applyNumberFormat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</cellStyleXfs>
  <cellXfs count="9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77" fontId="1" fillId="0" borderId="0" xfId="0" applyNumberFormat="1" applyFont="1" applyAlignment="1">
      <alignment horizontal="right"/>
    </xf>
    <xf numFmtId="177" fontId="1" fillId="0" borderId="1" xfId="0" applyNumberFormat="1" applyFont="1" applyBorder="1" applyAlignment="1">
      <alignment horizontal="right"/>
    </xf>
    <xf numFmtId="0" fontId="2" fillId="0" borderId="0" xfId="0" applyFont="1"/>
    <xf numFmtId="0" fontId="3" fillId="0" borderId="0" xfId="0" applyFont="1"/>
    <xf numFmtId="177" fontId="3" fillId="0" borderId="2" xfId="0" applyNumberFormat="1" applyFont="1" applyBorder="1" applyAlignment="1">
      <alignment horizontal="right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5" fillId="0" borderId="6" xfId="0" applyFont="1" applyBorder="1"/>
    <xf numFmtId="3" fontId="5" fillId="0" borderId="7" xfId="0" applyNumberFormat="1" applyFont="1" applyBorder="1"/>
    <xf numFmtId="3" fontId="5" fillId="0" borderId="8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58" fontId="5" fillId="0" borderId="8" xfId="0" applyNumberFormat="1" applyFont="1" applyBorder="1" applyAlignment="1">
      <alignment horizontal="right"/>
    </xf>
    <xf numFmtId="0" fontId="6" fillId="0" borderId="0" xfId="0" applyFont="1"/>
    <xf numFmtId="0" fontId="4" fillId="2" borderId="9" xfId="0" applyFont="1" applyFill="1" applyBorder="1" applyAlignment="1">
      <alignment vertical="center"/>
    </xf>
    <xf numFmtId="0" fontId="5" fillId="0" borderId="9" xfId="0" applyFont="1" applyBorder="1"/>
    <xf numFmtId="0" fontId="5" fillId="0" borderId="8" xfId="0" applyFont="1" applyBorder="1"/>
    <xf numFmtId="58" fontId="7" fillId="0" borderId="8" xfId="0" applyNumberFormat="1" applyFont="1" applyBorder="1" applyAlignment="1">
      <alignment horizontal="right"/>
    </xf>
    <xf numFmtId="0" fontId="6" fillId="0" borderId="8" xfId="0" applyFont="1" applyBorder="1"/>
    <xf numFmtId="0" fontId="8" fillId="0" borderId="8" xfId="0" applyFont="1" applyBorder="1"/>
    <xf numFmtId="58" fontId="0" fillId="0" borderId="0" xfId="0" applyNumberFormat="1"/>
    <xf numFmtId="0" fontId="4" fillId="2" borderId="10" xfId="0" applyFont="1" applyFill="1" applyBorder="1" applyAlignment="1">
      <alignment vertical="center"/>
    </xf>
    <xf numFmtId="58" fontId="4" fillId="2" borderId="10" xfId="0" applyNumberFormat="1" applyFont="1" applyFill="1" applyBorder="1" applyAlignment="1">
      <alignment vertical="center"/>
    </xf>
    <xf numFmtId="178" fontId="4" fillId="2" borderId="10" xfId="0" applyNumberFormat="1" applyFont="1" applyFill="1" applyBorder="1" applyAlignment="1">
      <alignment vertical="center"/>
    </xf>
    <xf numFmtId="0" fontId="5" fillId="0" borderId="10" xfId="0" applyFont="1" applyBorder="1"/>
    <xf numFmtId="58" fontId="5" fillId="3" borderId="10" xfId="0" applyNumberFormat="1" applyFont="1" applyFill="1" applyBorder="1"/>
    <xf numFmtId="179" fontId="5" fillId="3" borderId="10" xfId="0" applyNumberFormat="1" applyFont="1" applyFill="1" applyBorder="1"/>
    <xf numFmtId="178" fontId="5" fillId="3" borderId="10" xfId="0" applyNumberFormat="1" applyFont="1" applyFill="1" applyBorder="1"/>
    <xf numFmtId="178" fontId="4" fillId="2" borderId="11" xfId="0" applyNumberFormat="1" applyFont="1" applyFill="1" applyBorder="1" applyAlignment="1">
      <alignment vertical="center"/>
    </xf>
    <xf numFmtId="178" fontId="5" fillId="0" borderId="10" xfId="0" applyNumberFormat="1" applyFont="1" applyBorder="1"/>
    <xf numFmtId="0" fontId="0" fillId="0" borderId="0" xfId="0" applyFont="1"/>
    <xf numFmtId="178" fontId="6" fillId="0" borderId="0" xfId="0" applyNumberFormat="1" applyFont="1"/>
    <xf numFmtId="0" fontId="9" fillId="0" borderId="10" xfId="0" applyFont="1" applyBorder="1"/>
    <xf numFmtId="58" fontId="9" fillId="3" borderId="10" xfId="0" applyNumberFormat="1" applyFont="1" applyFill="1" applyBorder="1"/>
    <xf numFmtId="179" fontId="9" fillId="3" borderId="10" xfId="0" applyNumberFormat="1" applyFont="1" applyFill="1" applyBorder="1"/>
    <xf numFmtId="178" fontId="9" fillId="3" borderId="10" xfId="0" applyNumberFormat="1" applyFont="1" applyFill="1" applyBorder="1"/>
    <xf numFmtId="0" fontId="10" fillId="0" borderId="12" xfId="0" applyFont="1" applyBorder="1"/>
    <xf numFmtId="179" fontId="10" fillId="4" borderId="13" xfId="0" applyNumberFormat="1" applyFont="1" applyFill="1" applyBorder="1" applyAlignment="1">
      <alignment horizontal="right"/>
    </xf>
    <xf numFmtId="178" fontId="10" fillId="4" borderId="12" xfId="0" applyNumberFormat="1" applyFont="1" applyFill="1" applyBorder="1"/>
    <xf numFmtId="58" fontId="10" fillId="4" borderId="12" xfId="0" applyNumberFormat="1" applyFont="1" applyFill="1" applyBorder="1" applyAlignment="1">
      <alignment horizontal="right"/>
    </xf>
    <xf numFmtId="178" fontId="9" fillId="0" borderId="10" xfId="0" applyNumberFormat="1" applyFont="1" applyBorder="1"/>
    <xf numFmtId="178" fontId="10" fillId="0" borderId="10" xfId="0" applyNumberFormat="1" applyFont="1" applyBorder="1"/>
    <xf numFmtId="178" fontId="10" fillId="0" borderId="12" xfId="0" applyNumberFormat="1" applyFont="1" applyBorder="1"/>
    <xf numFmtId="178" fontId="10" fillId="0" borderId="13" xfId="0" applyNumberFormat="1" applyFont="1" applyBorder="1"/>
    <xf numFmtId="179" fontId="10" fillId="4" borderId="12" xfId="0" applyNumberFormat="1" applyFont="1" applyFill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178" fontId="11" fillId="0" borderId="10" xfId="0" applyNumberFormat="1" applyFont="1" applyBorder="1"/>
    <xf numFmtId="3" fontId="6" fillId="0" borderId="0" xfId="0" applyNumberFormat="1" applyFont="1"/>
    <xf numFmtId="0" fontId="0" fillId="0" borderId="0" xfId="0" applyAlignment="1">
      <alignment wrapText="1"/>
    </xf>
    <xf numFmtId="0" fontId="12" fillId="5" borderId="9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vertical="center" wrapText="1"/>
    </xf>
    <xf numFmtId="178" fontId="12" fillId="5" borderId="9" xfId="1" applyNumberFormat="1" applyFont="1" applyFill="1" applyBorder="1" applyAlignment="1">
      <alignment vertical="center" wrapText="1"/>
    </xf>
    <xf numFmtId="0" fontId="5" fillId="0" borderId="0" xfId="0" applyFont="1"/>
    <xf numFmtId="180" fontId="0" fillId="0" borderId="0" xfId="0" applyNumberFormat="1"/>
    <xf numFmtId="181" fontId="0" fillId="0" borderId="0" xfId="0" applyNumberFormat="1"/>
    <xf numFmtId="178" fontId="4" fillId="2" borderId="9" xfId="0" applyNumberFormat="1" applyFont="1" applyFill="1" applyBorder="1" applyAlignment="1">
      <alignment vertical="center"/>
    </xf>
    <xf numFmtId="58" fontId="4" fillId="2" borderId="9" xfId="0" applyNumberFormat="1" applyFont="1" applyFill="1" applyBorder="1" applyAlignment="1">
      <alignment vertical="center"/>
    </xf>
    <xf numFmtId="0" fontId="0" fillId="0" borderId="9" xfId="0" applyFont="1" applyBorder="1"/>
    <xf numFmtId="178" fontId="5" fillId="0" borderId="9" xfId="0" applyNumberFormat="1" applyFont="1" applyBorder="1"/>
    <xf numFmtId="0" fontId="10" fillId="0" borderId="9" xfId="0" applyFont="1" applyBorder="1"/>
    <xf numFmtId="0" fontId="0" fillId="0" borderId="9" xfId="0" applyBorder="1"/>
    <xf numFmtId="178" fontId="10" fillId="0" borderId="9" xfId="0" applyNumberFormat="1" applyFont="1" applyBorder="1"/>
    <xf numFmtId="180" fontId="4" fillId="2" borderId="9" xfId="0" applyNumberFormat="1" applyFont="1" applyFill="1" applyBorder="1" applyAlignment="1">
      <alignment vertical="center"/>
    </xf>
    <xf numFmtId="181" fontId="4" fillId="2" borderId="9" xfId="0" applyNumberFormat="1" applyFont="1" applyFill="1" applyBorder="1" applyAlignment="1">
      <alignment vertical="center"/>
    </xf>
    <xf numFmtId="180" fontId="5" fillId="0" borderId="9" xfId="0" applyNumberFormat="1" applyFont="1" applyBorder="1"/>
    <xf numFmtId="181" fontId="5" fillId="0" borderId="9" xfId="0" applyNumberFormat="1" applyFont="1" applyBorder="1"/>
    <xf numFmtId="58" fontId="5" fillId="0" borderId="9" xfId="0" applyNumberFormat="1" applyFont="1" applyBorder="1"/>
    <xf numFmtId="181" fontId="10" fillId="0" borderId="9" xfId="0" applyNumberFormat="1" applyFont="1" applyBorder="1" applyAlignment="1">
      <alignment horizontal="right"/>
    </xf>
    <xf numFmtId="58" fontId="10" fillId="0" borderId="9" xfId="0" applyNumberFormat="1" applyFont="1" applyBorder="1" applyAlignment="1">
      <alignment horizontal="right"/>
    </xf>
    <xf numFmtId="3" fontId="5" fillId="0" borderId="9" xfId="0" applyNumberFormat="1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181" fontId="5" fillId="0" borderId="9" xfId="0" applyNumberFormat="1" applyFont="1" applyBorder="1" applyAlignment="1">
      <alignment horizontal="right"/>
    </xf>
    <xf numFmtId="58" fontId="5" fillId="0" borderId="9" xfId="0" applyNumberFormat="1" applyFont="1" applyBorder="1" applyAlignment="1">
      <alignment horizontal="right"/>
    </xf>
    <xf numFmtId="0" fontId="10" fillId="0" borderId="9" xfId="0" applyFont="1" applyBorder="1" applyAlignment="1">
      <alignment horizontal="right"/>
    </xf>
    <xf numFmtId="180" fontId="10" fillId="0" borderId="9" xfId="0" applyNumberFormat="1" applyFont="1" applyBorder="1"/>
    <xf numFmtId="182" fontId="4" fillId="2" borderId="9" xfId="0" applyNumberFormat="1" applyFont="1" applyFill="1" applyBorder="1" applyAlignment="1">
      <alignment vertical="center"/>
    </xf>
    <xf numFmtId="182" fontId="5" fillId="0" borderId="9" xfId="0" applyNumberFormat="1" applyFont="1" applyBorder="1"/>
    <xf numFmtId="182" fontId="10" fillId="0" borderId="9" xfId="0" applyNumberFormat="1" applyFont="1" applyBorder="1" applyAlignment="1">
      <alignment horizontal="right"/>
    </xf>
    <xf numFmtId="0" fontId="6" fillId="0" borderId="9" xfId="0" applyFont="1" applyBorder="1"/>
    <xf numFmtId="0" fontId="5" fillId="0" borderId="9" xfId="0" applyFont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178" fontId="5" fillId="0" borderId="9" xfId="1" applyNumberFormat="1" applyFont="1" applyBorder="1"/>
    <xf numFmtId="178" fontId="5" fillId="0" borderId="9" xfId="1" applyNumberFormat="1" applyFont="1" applyFill="1" applyBorder="1"/>
    <xf numFmtId="0" fontId="5" fillId="0" borderId="9" xfId="1" applyNumberFormat="1" applyFont="1" applyFill="1" applyBorder="1"/>
    <xf numFmtId="0" fontId="5" fillId="0" borderId="9" xfId="1" applyNumberFormat="1" applyFont="1" applyBorder="1"/>
    <xf numFmtId="0" fontId="5" fillId="0" borderId="0" xfId="0" applyFont="1" applyBorder="1"/>
    <xf numFmtId="2" fontId="5" fillId="0" borderId="15" xfId="0" applyNumberFormat="1" applyFont="1" applyBorder="1"/>
    <xf numFmtId="2" fontId="5" fillId="0" borderId="16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name="Query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Query1" displayName="Query1" ref="A1:A2" tableType="queryTable" totalsRowShown="0">
  <autoFilter ref="A1:A2"/>
  <tableColumns count="1">
    <tableColumn id="1" name="Query1" uniqueName="1" queryTableField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u/0/folders/1zLG-YyUJVqZB5-Lznqz8LzfhkqrH2iO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4"/>
  <sheetViews>
    <sheetView tabSelected="1" topLeftCell="J1" workbookViewId="0">
      <pane ySplit="2" topLeftCell="A112" activePane="bottomLeft" state="frozen"/>
      <selection/>
      <selection pane="bottomLeft" activeCell="M1" sqref="M$1:M$1048576"/>
    </sheetView>
  </sheetViews>
  <sheetFormatPr defaultColWidth="14.4285714285714" defaultRowHeight="15" customHeight="1"/>
  <cols>
    <col min="1" max="1" width="67" customWidth="1"/>
    <col min="2" max="2" width="18.5714285714286" customWidth="1"/>
    <col min="3" max="4" width="17.2857142857143" customWidth="1"/>
    <col min="5" max="5" width="18.2857142857143" customWidth="1"/>
    <col min="6" max="6" width="11.8571428571429" customWidth="1"/>
    <col min="7" max="7" width="12.7142857142857" customWidth="1"/>
    <col min="8" max="8" width="24.1428571428571" customWidth="1"/>
    <col min="9" max="9" width="14.8571428571429" customWidth="1"/>
    <col min="10" max="10" width="17.5714285714286" customWidth="1"/>
    <col min="11" max="11" width="22.2857142857143" customWidth="1"/>
    <col min="12" max="12" width="12.5714285714286" customWidth="1"/>
    <col min="13" max="13" width="13.8571428571429" style="56" customWidth="1"/>
    <col min="14" max="14" width="17.1428571428571" customWidth="1"/>
    <col min="15" max="15" width="11.5714285714286" style="57" customWidth="1"/>
    <col min="16" max="16" width="12.1428571428571" style="23" customWidth="1"/>
    <col min="17" max="18" width="13.4285714285714" customWidth="1"/>
    <col min="19" max="19" width="10" customWidth="1"/>
    <col min="20" max="22" width="26.8571428571429" customWidth="1"/>
    <col min="23" max="23" width="24.2857142857143" customWidth="1"/>
    <col min="24" max="24" width="16.2857142857143" customWidth="1"/>
    <col min="25" max="25" width="11.5714285714286" customWidth="1"/>
    <col min="26" max="26" width="26" customWidth="1"/>
    <col min="27" max="31" width="8.71428571428571" customWidth="1"/>
  </cols>
  <sheetData>
    <row r="1" ht="15.75" customHeight="1" spans="1:27">
      <c r="A1" s="17" t="s">
        <v>0</v>
      </c>
      <c r="B1" s="17" t="s">
        <v>1</v>
      </c>
      <c r="C1" s="17" t="s">
        <v>2</v>
      </c>
      <c r="D1" s="17" t="s">
        <v>3</v>
      </c>
      <c r="E1" s="58" t="s">
        <v>4</v>
      </c>
      <c r="F1" s="58" t="s">
        <v>5</v>
      </c>
      <c r="G1" s="17" t="s">
        <v>6</v>
      </c>
      <c r="H1" s="59" t="s">
        <v>7</v>
      </c>
      <c r="I1" s="59" t="s">
        <v>8</v>
      </c>
      <c r="J1" s="58" t="s">
        <v>9</v>
      </c>
      <c r="K1" s="58" t="s">
        <v>10</v>
      </c>
      <c r="L1" s="17" t="s">
        <v>11</v>
      </c>
      <c r="M1" s="65" t="s">
        <v>12</v>
      </c>
      <c r="N1" s="17" t="s">
        <v>13</v>
      </c>
      <c r="O1" s="66" t="s">
        <v>14</v>
      </c>
      <c r="P1" s="59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78" t="s">
        <v>22</v>
      </c>
      <c r="X1" s="17" t="s">
        <v>23</v>
      </c>
      <c r="Y1" s="82"/>
      <c r="Z1" s="17" t="s">
        <v>24</v>
      </c>
      <c r="AA1" s="83" t="s">
        <v>25</v>
      </c>
    </row>
    <row r="2" ht="21" customHeight="1" spans="1:27">
      <c r="A2" s="18" t="s">
        <v>26</v>
      </c>
      <c r="B2" s="18" t="s">
        <v>27</v>
      </c>
      <c r="C2" s="60" t="s">
        <v>28</v>
      </c>
      <c r="D2" s="60" t="s">
        <v>28</v>
      </c>
      <c r="E2" s="61">
        <v>2519484</v>
      </c>
      <c r="F2" s="61">
        <f t="shared" ref="F2:F8" si="0">E2*5%</f>
        <v>125974.2</v>
      </c>
      <c r="G2" s="61">
        <v>70000</v>
      </c>
      <c r="H2" s="61">
        <f t="shared" ref="H2:H8" si="1">SUM(E2:G2)</f>
        <v>2715458.2</v>
      </c>
      <c r="I2" s="61">
        <v>0</v>
      </c>
      <c r="J2" s="61">
        <f t="shared" ref="J2:J8" si="2">SUM(H2:I2)</f>
        <v>2715458.2</v>
      </c>
      <c r="K2" s="61">
        <f t="shared" ref="K2:K65" si="3">J2/L2</f>
        <v>678864.55</v>
      </c>
      <c r="L2" s="18">
        <v>4</v>
      </c>
      <c r="M2" s="67">
        <v>3</v>
      </c>
      <c r="N2" s="18">
        <f>SUM(L2:M2)</f>
        <v>7</v>
      </c>
      <c r="O2" s="68">
        <v>45292</v>
      </c>
      <c r="P2" s="69">
        <v>46022</v>
      </c>
      <c r="Q2" s="18" t="str">
        <f t="shared" ref="Q2:Q65" si="4">TEXT(O2,"mmmm")</f>
        <v>January</v>
      </c>
      <c r="R2" s="18">
        <f t="shared" ref="R2:R65" si="5">YEAR(O2)</f>
        <v>2024</v>
      </c>
      <c r="S2" s="18" t="s">
        <v>29</v>
      </c>
      <c r="T2" s="18" t="s">
        <v>30</v>
      </c>
      <c r="U2" s="18" t="s">
        <v>31</v>
      </c>
      <c r="V2" s="53" t="s">
        <v>32</v>
      </c>
      <c r="W2" s="79">
        <v>45278</v>
      </c>
      <c r="X2" s="18">
        <f ca="1" t="shared" ref="X2:X8" si="6">TODAY()-O2</f>
        <v>291</v>
      </c>
      <c r="Y2" s="18">
        <f t="shared" ref="Y2:Y8" si="7">O2-W2</f>
        <v>14</v>
      </c>
      <c r="Z2" s="63">
        <f t="shared" ref="Z2:Z65" si="8">ROUND(M2/L2,2)</f>
        <v>0.75</v>
      </c>
      <c r="AA2" t="str">
        <f t="shared" ref="AA2:AA65" si="9">IF(L2&lt;=29,"Hares",IF(L2&lt;=99,"Tigers",IF(L2&lt;=499,"Elephants","Whales")))</f>
        <v>Hares</v>
      </c>
    </row>
    <row r="3" ht="16.5" spans="1:27">
      <c r="A3" s="18" t="s">
        <v>33</v>
      </c>
      <c r="B3" s="62" t="s">
        <v>27</v>
      </c>
      <c r="C3" s="60" t="s">
        <v>28</v>
      </c>
      <c r="D3" s="60" t="s">
        <v>28</v>
      </c>
      <c r="E3" s="61">
        <v>56151579</v>
      </c>
      <c r="F3" s="61">
        <f t="shared" si="0"/>
        <v>2807578.95</v>
      </c>
      <c r="G3" s="61">
        <v>965000</v>
      </c>
      <c r="H3" s="61">
        <f t="shared" si="1"/>
        <v>59924157.95</v>
      </c>
      <c r="I3" s="61">
        <v>0</v>
      </c>
      <c r="J3" s="61">
        <f t="shared" si="2"/>
        <v>59924157.95</v>
      </c>
      <c r="K3" s="61">
        <f t="shared" si="3"/>
        <v>1033175.13706897</v>
      </c>
      <c r="L3" s="18">
        <v>58</v>
      </c>
      <c r="M3" s="67">
        <v>135</v>
      </c>
      <c r="N3" s="18">
        <v>193</v>
      </c>
      <c r="O3" s="70">
        <v>45484</v>
      </c>
      <c r="P3" s="71">
        <v>45848</v>
      </c>
      <c r="Q3" s="18" t="str">
        <f t="shared" si="4"/>
        <v>July</v>
      </c>
      <c r="R3" s="18">
        <f t="shared" si="5"/>
        <v>2024</v>
      </c>
      <c r="S3" s="18" t="s">
        <v>34</v>
      </c>
      <c r="T3" s="18" t="s">
        <v>35</v>
      </c>
      <c r="U3" s="18"/>
      <c r="V3" s="18"/>
      <c r="W3" s="80">
        <v>45464</v>
      </c>
      <c r="X3" s="18">
        <f ca="1" t="shared" si="6"/>
        <v>99</v>
      </c>
      <c r="Y3" s="18">
        <f t="shared" si="7"/>
        <v>20</v>
      </c>
      <c r="Z3" s="63">
        <f t="shared" si="8"/>
        <v>2.33</v>
      </c>
      <c r="AA3" t="str">
        <f t="shared" si="9"/>
        <v>Tigers</v>
      </c>
    </row>
    <row r="4" ht="16.5" spans="1:27">
      <c r="A4" s="18" t="s">
        <v>36</v>
      </c>
      <c r="B4" s="62" t="s">
        <v>27</v>
      </c>
      <c r="C4" s="60" t="s">
        <v>28</v>
      </c>
      <c r="D4" s="60" t="s">
        <v>28</v>
      </c>
      <c r="E4" s="61">
        <v>25154667</v>
      </c>
      <c r="F4" s="61">
        <f t="shared" si="0"/>
        <v>1257733.35</v>
      </c>
      <c r="G4" s="61">
        <v>430000</v>
      </c>
      <c r="H4" s="61">
        <f t="shared" si="1"/>
        <v>26842400.35</v>
      </c>
      <c r="I4" s="61">
        <v>0</v>
      </c>
      <c r="J4" s="61">
        <f t="shared" si="2"/>
        <v>26842400.35</v>
      </c>
      <c r="K4" s="61">
        <f t="shared" si="3"/>
        <v>925600.012068966</v>
      </c>
      <c r="L4" s="18">
        <v>29</v>
      </c>
      <c r="M4" s="67">
        <v>57</v>
      </c>
      <c r="N4" s="18">
        <f>SUM(L4:M4)</f>
        <v>86</v>
      </c>
      <c r="O4" s="70">
        <v>45488</v>
      </c>
      <c r="P4" s="71">
        <v>45852</v>
      </c>
      <c r="Q4" s="18" t="str">
        <f t="shared" si="4"/>
        <v>July</v>
      </c>
      <c r="R4" s="18">
        <f t="shared" si="5"/>
        <v>2024</v>
      </c>
      <c r="S4" s="18" t="s">
        <v>34</v>
      </c>
      <c r="T4" s="18" t="s">
        <v>35</v>
      </c>
      <c r="U4" s="18"/>
      <c r="V4" s="18"/>
      <c r="W4" s="80">
        <v>45469</v>
      </c>
      <c r="X4" s="18">
        <f ca="1" t="shared" si="6"/>
        <v>95</v>
      </c>
      <c r="Y4" s="18">
        <f t="shared" si="7"/>
        <v>19</v>
      </c>
      <c r="Z4" s="63">
        <f t="shared" si="8"/>
        <v>1.97</v>
      </c>
      <c r="AA4" t="str">
        <f t="shared" si="9"/>
        <v>Hares</v>
      </c>
    </row>
    <row r="5" ht="16.5" spans="1:27">
      <c r="A5" s="18" t="s">
        <v>37</v>
      </c>
      <c r="B5" s="18" t="s">
        <v>27</v>
      </c>
      <c r="C5" s="60" t="s">
        <v>28</v>
      </c>
      <c r="D5" s="60" t="s">
        <v>28</v>
      </c>
      <c r="E5" s="61">
        <v>1322572</v>
      </c>
      <c r="F5" s="61">
        <f t="shared" si="0"/>
        <v>66128.6</v>
      </c>
      <c r="G5" s="61">
        <v>20000</v>
      </c>
      <c r="H5" s="61">
        <f t="shared" si="1"/>
        <v>1408700.6</v>
      </c>
      <c r="I5" s="61">
        <v>0</v>
      </c>
      <c r="J5" s="61">
        <f t="shared" si="2"/>
        <v>1408700.6</v>
      </c>
      <c r="K5" s="61">
        <f t="shared" si="3"/>
        <v>1408700.6</v>
      </c>
      <c r="L5" s="18">
        <v>1</v>
      </c>
      <c r="M5" s="67">
        <v>1</v>
      </c>
      <c r="N5" s="18">
        <f>SUM(L5:M5)</f>
        <v>2</v>
      </c>
      <c r="O5" s="68">
        <v>45408</v>
      </c>
      <c r="P5" s="69">
        <v>45772</v>
      </c>
      <c r="Q5" s="18" t="str">
        <f t="shared" si="4"/>
        <v>April</v>
      </c>
      <c r="R5" s="18">
        <f t="shared" si="5"/>
        <v>2024</v>
      </c>
      <c r="S5" s="18" t="s">
        <v>38</v>
      </c>
      <c r="T5" s="18" t="s">
        <v>39</v>
      </c>
      <c r="U5" s="18"/>
      <c r="V5" s="18"/>
      <c r="W5" s="79">
        <v>45352</v>
      </c>
      <c r="X5" s="18">
        <f ca="1" t="shared" si="6"/>
        <v>175</v>
      </c>
      <c r="Y5" s="18">
        <f t="shared" si="7"/>
        <v>56</v>
      </c>
      <c r="Z5" s="63">
        <f t="shared" si="8"/>
        <v>1</v>
      </c>
      <c r="AA5" t="str">
        <f t="shared" si="9"/>
        <v>Hares</v>
      </c>
    </row>
    <row r="6" ht="16.5" spans="1:27">
      <c r="A6" s="18" t="s">
        <v>40</v>
      </c>
      <c r="B6" s="62" t="s">
        <v>27</v>
      </c>
      <c r="C6" s="60" t="s">
        <v>28</v>
      </c>
      <c r="D6" s="60" t="s">
        <v>28</v>
      </c>
      <c r="E6" s="61">
        <v>1424655</v>
      </c>
      <c r="F6" s="61">
        <f t="shared" si="0"/>
        <v>71232.75</v>
      </c>
      <c r="G6" s="61">
        <v>30000</v>
      </c>
      <c r="H6" s="61">
        <f t="shared" si="1"/>
        <v>1525887.75</v>
      </c>
      <c r="I6" s="61">
        <v>0</v>
      </c>
      <c r="J6" s="61">
        <f t="shared" si="2"/>
        <v>1525887.75</v>
      </c>
      <c r="K6" s="61">
        <f t="shared" si="3"/>
        <v>508629.25</v>
      </c>
      <c r="L6" s="18">
        <v>3</v>
      </c>
      <c r="M6" s="67">
        <v>1</v>
      </c>
      <c r="N6" s="18">
        <v>2</v>
      </c>
      <c r="O6" s="70">
        <v>45502</v>
      </c>
      <c r="P6" s="71">
        <v>45866</v>
      </c>
      <c r="Q6" s="18" t="str">
        <f t="shared" si="4"/>
        <v>July</v>
      </c>
      <c r="R6" s="18">
        <f t="shared" si="5"/>
        <v>2024</v>
      </c>
      <c r="S6" s="18" t="s">
        <v>34</v>
      </c>
      <c r="T6" s="18" t="s">
        <v>41</v>
      </c>
      <c r="U6" s="18"/>
      <c r="V6" s="18"/>
      <c r="W6" s="80">
        <v>45464</v>
      </c>
      <c r="X6" s="18">
        <f ca="1" t="shared" si="6"/>
        <v>81</v>
      </c>
      <c r="Y6" s="18">
        <f t="shared" si="7"/>
        <v>38</v>
      </c>
      <c r="Z6" s="63">
        <f t="shared" si="8"/>
        <v>0.33</v>
      </c>
      <c r="AA6" t="str">
        <f t="shared" si="9"/>
        <v>Hares</v>
      </c>
    </row>
    <row r="7" ht="16.5" spans="1:27">
      <c r="A7" s="18" t="s">
        <v>42</v>
      </c>
      <c r="B7" s="62" t="s">
        <v>27</v>
      </c>
      <c r="C7" s="60" t="s">
        <v>28</v>
      </c>
      <c r="D7" s="60" t="s">
        <v>28</v>
      </c>
      <c r="E7" s="61">
        <v>2879583</v>
      </c>
      <c r="F7" s="61">
        <f t="shared" si="0"/>
        <v>143979.15</v>
      </c>
      <c r="G7" s="61">
        <v>70000</v>
      </c>
      <c r="H7" s="61">
        <f t="shared" si="1"/>
        <v>3093562.15</v>
      </c>
      <c r="I7" s="61">
        <v>0</v>
      </c>
      <c r="J7" s="61">
        <f t="shared" si="2"/>
        <v>3093562.15</v>
      </c>
      <c r="K7" s="61">
        <f t="shared" si="3"/>
        <v>441937.45</v>
      </c>
      <c r="L7" s="18">
        <v>7</v>
      </c>
      <c r="M7" s="67">
        <v>1</v>
      </c>
      <c r="N7" s="18">
        <v>6</v>
      </c>
      <c r="O7" s="70">
        <v>45502</v>
      </c>
      <c r="P7" s="71">
        <v>45866</v>
      </c>
      <c r="Q7" s="18" t="str">
        <f t="shared" si="4"/>
        <v>July</v>
      </c>
      <c r="R7" s="18">
        <f t="shared" si="5"/>
        <v>2024</v>
      </c>
      <c r="S7" s="18" t="s">
        <v>34</v>
      </c>
      <c r="T7" s="18" t="s">
        <v>41</v>
      </c>
      <c r="U7" s="18"/>
      <c r="V7" s="18"/>
      <c r="W7" s="80">
        <v>45464</v>
      </c>
      <c r="X7" s="18">
        <f ca="1" t="shared" si="6"/>
        <v>81</v>
      </c>
      <c r="Y7" s="18">
        <f t="shared" si="7"/>
        <v>38</v>
      </c>
      <c r="Z7" s="63">
        <f t="shared" si="8"/>
        <v>0.14</v>
      </c>
      <c r="AA7" t="str">
        <f t="shared" si="9"/>
        <v>Hares</v>
      </c>
    </row>
    <row r="8" ht="16.5" spans="1:27">
      <c r="A8" s="18" t="s">
        <v>43</v>
      </c>
      <c r="B8" s="62" t="s">
        <v>27</v>
      </c>
      <c r="C8" s="60" t="s">
        <v>28</v>
      </c>
      <c r="D8" s="60" t="s">
        <v>28</v>
      </c>
      <c r="E8" s="61">
        <v>449234</v>
      </c>
      <c r="F8" s="61">
        <f t="shared" si="0"/>
        <v>22461.7</v>
      </c>
      <c r="G8" s="61">
        <v>10000</v>
      </c>
      <c r="H8" s="61">
        <f t="shared" si="1"/>
        <v>481695.7</v>
      </c>
      <c r="I8" s="61">
        <v>0</v>
      </c>
      <c r="J8" s="61">
        <f t="shared" si="2"/>
        <v>481695.7</v>
      </c>
      <c r="K8" s="61">
        <f t="shared" si="3"/>
        <v>481695.7</v>
      </c>
      <c r="L8" s="18">
        <v>1</v>
      </c>
      <c r="M8" s="67">
        <v>1</v>
      </c>
      <c r="N8" s="18">
        <v>0</v>
      </c>
      <c r="O8" s="70">
        <v>45502</v>
      </c>
      <c r="P8" s="71">
        <v>45866</v>
      </c>
      <c r="Q8" s="18" t="str">
        <f t="shared" si="4"/>
        <v>July</v>
      </c>
      <c r="R8" s="18">
        <f t="shared" si="5"/>
        <v>2024</v>
      </c>
      <c r="S8" s="18" t="s">
        <v>34</v>
      </c>
      <c r="T8" s="18" t="s">
        <v>41</v>
      </c>
      <c r="U8" s="18"/>
      <c r="V8" s="18"/>
      <c r="W8" s="80">
        <v>45464</v>
      </c>
      <c r="X8" s="18">
        <f ca="1" t="shared" si="6"/>
        <v>81</v>
      </c>
      <c r="Y8" s="18">
        <f t="shared" si="7"/>
        <v>38</v>
      </c>
      <c r="Z8" s="63">
        <f t="shared" si="8"/>
        <v>1</v>
      </c>
      <c r="AA8" t="str">
        <f t="shared" si="9"/>
        <v>Hares</v>
      </c>
    </row>
    <row r="9" ht="16.5" spans="1:27">
      <c r="A9" s="18" t="s">
        <v>44</v>
      </c>
      <c r="B9" s="18" t="s">
        <v>27</v>
      </c>
      <c r="C9" s="60" t="s">
        <v>45</v>
      </c>
      <c r="D9" s="60" t="s">
        <v>45</v>
      </c>
      <c r="E9" s="63"/>
      <c r="F9" s="63"/>
      <c r="G9" s="63"/>
      <c r="H9" s="63"/>
      <c r="I9" s="63"/>
      <c r="J9" s="72">
        <v>4284439</v>
      </c>
      <c r="K9" s="61">
        <f t="shared" si="3"/>
        <v>225496.789473684</v>
      </c>
      <c r="L9" s="73">
        <v>19</v>
      </c>
      <c r="M9" s="67">
        <v>0</v>
      </c>
      <c r="N9" s="73">
        <v>19</v>
      </c>
      <c r="O9" s="74">
        <v>45292</v>
      </c>
      <c r="P9" s="18" t="s">
        <v>46</v>
      </c>
      <c r="Q9" s="18" t="str">
        <f t="shared" si="4"/>
        <v>January</v>
      </c>
      <c r="R9" s="18">
        <f t="shared" si="5"/>
        <v>2024</v>
      </c>
      <c r="S9" s="18" t="s">
        <v>38</v>
      </c>
      <c r="T9" s="18" t="s">
        <v>47</v>
      </c>
      <c r="U9" s="18"/>
      <c r="V9" s="18"/>
      <c r="W9" s="75">
        <v>45261</v>
      </c>
      <c r="X9" s="18"/>
      <c r="Y9" s="18"/>
      <c r="Z9" s="63">
        <f t="shared" si="8"/>
        <v>0</v>
      </c>
      <c r="AA9" t="str">
        <f t="shared" si="9"/>
        <v>Hares</v>
      </c>
    </row>
    <row r="10" ht="16.5" spans="1:27">
      <c r="A10" s="18" t="s">
        <v>48</v>
      </c>
      <c r="B10" s="18" t="s">
        <v>27</v>
      </c>
      <c r="C10" s="60" t="s">
        <v>28</v>
      </c>
      <c r="D10" s="60" t="s">
        <v>28</v>
      </c>
      <c r="E10" s="61">
        <f>23153292+2402252+2179983+1520025</f>
        <v>29255552</v>
      </c>
      <c r="F10" s="61">
        <f>E10*5%</f>
        <v>1462777.6</v>
      </c>
      <c r="G10" s="61">
        <f>20000+30000+25000+240000</f>
        <v>315000</v>
      </c>
      <c r="H10" s="61">
        <f>SUM(E10:G10)</f>
        <v>31033329.6</v>
      </c>
      <c r="I10" s="61">
        <v>0</v>
      </c>
      <c r="J10" s="61">
        <f>SUM(H10:I10)</f>
        <v>31033329.6</v>
      </c>
      <c r="K10" s="61">
        <f t="shared" si="3"/>
        <v>646527.7</v>
      </c>
      <c r="L10" s="18">
        <v>48</v>
      </c>
      <c r="M10" s="67">
        <f>126-48</f>
        <v>78</v>
      </c>
      <c r="N10" s="18">
        <f>SUM(L10:M10)</f>
        <v>126</v>
      </c>
      <c r="O10" s="68">
        <v>45432</v>
      </c>
      <c r="P10" s="69">
        <v>45796</v>
      </c>
      <c r="Q10" s="18" t="str">
        <f t="shared" si="4"/>
        <v>May</v>
      </c>
      <c r="R10" s="18">
        <f t="shared" si="5"/>
        <v>2024</v>
      </c>
      <c r="S10" s="18" t="s">
        <v>38</v>
      </c>
      <c r="T10" s="18" t="s">
        <v>49</v>
      </c>
      <c r="U10" s="18"/>
      <c r="V10" s="18"/>
      <c r="W10" s="79">
        <v>45406</v>
      </c>
      <c r="X10" s="18">
        <f ca="1">TODAY()-O10</f>
        <v>151</v>
      </c>
      <c r="Y10" s="18">
        <f>O10-W10</f>
        <v>26</v>
      </c>
      <c r="Z10" s="63">
        <f t="shared" si="8"/>
        <v>1.63</v>
      </c>
      <c r="AA10" t="str">
        <f t="shared" si="9"/>
        <v>Tigers</v>
      </c>
    </row>
    <row r="11" ht="16.5" spans="1:27">
      <c r="A11" s="18" t="s">
        <v>50</v>
      </c>
      <c r="B11" s="18" t="s">
        <v>27</v>
      </c>
      <c r="C11" s="60" t="s">
        <v>28</v>
      </c>
      <c r="D11" s="60" t="s">
        <v>28</v>
      </c>
      <c r="E11" s="61">
        <v>457803</v>
      </c>
      <c r="F11" s="61">
        <f>E11*5%</f>
        <v>22890.15</v>
      </c>
      <c r="G11" s="61">
        <v>10000</v>
      </c>
      <c r="H11" s="61">
        <f>SUM(E11:G11)</f>
        <v>490693.15</v>
      </c>
      <c r="I11" s="61">
        <v>0</v>
      </c>
      <c r="J11" s="61">
        <f>SUM(H11:I11)</f>
        <v>490693.15</v>
      </c>
      <c r="K11" s="61">
        <f t="shared" si="3"/>
        <v>490693.15</v>
      </c>
      <c r="L11" s="18">
        <v>1</v>
      </c>
      <c r="M11" s="67">
        <v>0</v>
      </c>
      <c r="N11" s="18">
        <f>SUM(L11:M11)</f>
        <v>1</v>
      </c>
      <c r="O11" s="68">
        <v>45316</v>
      </c>
      <c r="P11" s="69">
        <v>45681</v>
      </c>
      <c r="Q11" s="18" t="str">
        <f t="shared" si="4"/>
        <v>January</v>
      </c>
      <c r="R11" s="18">
        <f t="shared" si="5"/>
        <v>2024</v>
      </c>
      <c r="S11" s="18" t="s">
        <v>29</v>
      </c>
      <c r="T11" s="18" t="s">
        <v>51</v>
      </c>
      <c r="U11" s="18" t="s">
        <v>31</v>
      </c>
      <c r="V11" s="53" t="s">
        <v>52</v>
      </c>
      <c r="W11" s="79">
        <v>45244</v>
      </c>
      <c r="X11" s="18">
        <f ca="1">TODAY()-O11</f>
        <v>267</v>
      </c>
      <c r="Y11" s="18">
        <f>O11-W11</f>
        <v>72</v>
      </c>
      <c r="Z11" s="63">
        <f t="shared" si="8"/>
        <v>0</v>
      </c>
      <c r="AA11" t="str">
        <f t="shared" si="9"/>
        <v>Hares</v>
      </c>
    </row>
    <row r="12" ht="16.5" spans="1:27">
      <c r="A12" s="18" t="s">
        <v>53</v>
      </c>
      <c r="B12" s="18" t="s">
        <v>27</v>
      </c>
      <c r="C12" s="60" t="s">
        <v>28</v>
      </c>
      <c r="D12" s="60" t="s">
        <v>28</v>
      </c>
      <c r="E12" s="61">
        <v>11388150</v>
      </c>
      <c r="F12" s="61">
        <f>E12*5%</f>
        <v>569407.5</v>
      </c>
      <c r="G12" s="61">
        <v>200000</v>
      </c>
      <c r="H12" s="61">
        <f>SUM(E12:G12)</f>
        <v>12157557.5</v>
      </c>
      <c r="I12" s="61">
        <v>0</v>
      </c>
      <c r="J12" s="61">
        <f>SUM(H12:I12)</f>
        <v>12157557.5</v>
      </c>
      <c r="K12" s="61">
        <f t="shared" si="3"/>
        <v>1350839.72222222</v>
      </c>
      <c r="L12" s="18">
        <v>9</v>
      </c>
      <c r="M12" s="67">
        <v>11</v>
      </c>
      <c r="N12" s="18">
        <f>SUM(L12:M12)</f>
        <v>20</v>
      </c>
      <c r="O12" s="68">
        <v>45328</v>
      </c>
      <c r="P12" s="69">
        <v>45693</v>
      </c>
      <c r="Q12" s="18" t="str">
        <f t="shared" si="4"/>
        <v>February</v>
      </c>
      <c r="R12" s="18">
        <f t="shared" si="5"/>
        <v>2024</v>
      </c>
      <c r="S12" s="18" t="s">
        <v>29</v>
      </c>
      <c r="T12" s="18" t="s">
        <v>51</v>
      </c>
      <c r="U12" s="18" t="s">
        <v>31</v>
      </c>
      <c r="V12" s="53" t="s">
        <v>52</v>
      </c>
      <c r="W12" s="79">
        <v>45200</v>
      </c>
      <c r="X12" s="18">
        <f ca="1">TODAY()-O12</f>
        <v>255</v>
      </c>
      <c r="Y12" s="18">
        <f>O12-W12</f>
        <v>128</v>
      </c>
      <c r="Z12" s="63">
        <f t="shared" si="8"/>
        <v>1.22</v>
      </c>
      <c r="AA12" t="str">
        <f t="shared" si="9"/>
        <v>Hares</v>
      </c>
    </row>
    <row r="13" ht="16.5" spans="1:27">
      <c r="A13" s="18" t="s">
        <v>54</v>
      </c>
      <c r="B13" s="18" t="s">
        <v>27</v>
      </c>
      <c r="C13" s="60" t="s">
        <v>28</v>
      </c>
      <c r="D13" s="60" t="s">
        <v>28</v>
      </c>
      <c r="E13" s="61">
        <v>17137620</v>
      </c>
      <c r="F13" s="61">
        <f>E13*5%</f>
        <v>856881</v>
      </c>
      <c r="G13" s="61">
        <v>480000</v>
      </c>
      <c r="H13" s="61">
        <f>SUM(E13:G13)</f>
        <v>18474501</v>
      </c>
      <c r="I13" s="61">
        <v>0</v>
      </c>
      <c r="J13" s="61">
        <f>SUM(H13:I13)</f>
        <v>18474501</v>
      </c>
      <c r="K13" s="61">
        <f t="shared" si="3"/>
        <v>1539541.75</v>
      </c>
      <c r="L13" s="18">
        <v>12</v>
      </c>
      <c r="M13" s="67">
        <v>36</v>
      </c>
      <c r="N13" s="18">
        <f>SUM(L13:M13)</f>
        <v>48</v>
      </c>
      <c r="O13" s="68">
        <v>45361</v>
      </c>
      <c r="P13" s="69">
        <v>45725</v>
      </c>
      <c r="Q13" s="18" t="str">
        <f t="shared" si="4"/>
        <v>March</v>
      </c>
      <c r="R13" s="18">
        <f t="shared" si="5"/>
        <v>2024</v>
      </c>
      <c r="S13" s="18" t="s">
        <v>29</v>
      </c>
      <c r="T13" s="18" t="s">
        <v>51</v>
      </c>
      <c r="U13" s="18" t="s">
        <v>31</v>
      </c>
      <c r="V13" s="53" t="s">
        <v>52</v>
      </c>
      <c r="W13" s="79">
        <v>45348</v>
      </c>
      <c r="X13" s="18">
        <f ca="1">TODAY()-O13</f>
        <v>222</v>
      </c>
      <c r="Y13" s="18">
        <f>O13-W13</f>
        <v>13</v>
      </c>
      <c r="Z13" s="63">
        <f t="shared" si="8"/>
        <v>3</v>
      </c>
      <c r="AA13" t="str">
        <f t="shared" si="9"/>
        <v>Hares</v>
      </c>
    </row>
    <row r="14" ht="16.5" spans="1:27">
      <c r="A14" s="18" t="s">
        <v>55</v>
      </c>
      <c r="B14" s="62" t="s">
        <v>27</v>
      </c>
      <c r="C14" s="60" t="s">
        <v>45</v>
      </c>
      <c r="D14" s="60" t="s">
        <v>45</v>
      </c>
      <c r="E14" s="63"/>
      <c r="F14" s="63"/>
      <c r="G14" s="63"/>
      <c r="H14" s="63"/>
      <c r="I14" s="63"/>
      <c r="J14" s="72">
        <v>2088990</v>
      </c>
      <c r="K14" s="61">
        <f t="shared" si="3"/>
        <v>32138.3076923077</v>
      </c>
      <c r="L14" s="73">
        <v>65</v>
      </c>
      <c r="M14" s="67">
        <v>0</v>
      </c>
      <c r="N14" s="73">
        <v>65</v>
      </c>
      <c r="O14" s="74">
        <v>45362</v>
      </c>
      <c r="P14" s="75">
        <v>45636</v>
      </c>
      <c r="Q14" s="18" t="str">
        <f t="shared" si="4"/>
        <v>March</v>
      </c>
      <c r="R14" s="18">
        <f t="shared" si="5"/>
        <v>2024</v>
      </c>
      <c r="S14" s="18" t="s">
        <v>29</v>
      </c>
      <c r="T14" s="18" t="s">
        <v>51</v>
      </c>
      <c r="U14" s="18" t="s">
        <v>31</v>
      </c>
      <c r="V14" s="53" t="s">
        <v>52</v>
      </c>
      <c r="W14" s="75">
        <v>45323</v>
      </c>
      <c r="X14" s="18"/>
      <c r="Y14" s="18"/>
      <c r="Z14" s="63">
        <f t="shared" si="8"/>
        <v>0</v>
      </c>
      <c r="AA14" t="str">
        <f t="shared" si="9"/>
        <v>Tigers</v>
      </c>
    </row>
    <row r="15" ht="16.5" spans="1:27">
      <c r="A15" s="18" t="s">
        <v>56</v>
      </c>
      <c r="B15" s="18" t="s">
        <v>27</v>
      </c>
      <c r="C15" s="60" t="s">
        <v>28</v>
      </c>
      <c r="D15" s="60" t="s">
        <v>28</v>
      </c>
      <c r="E15" s="61">
        <v>12020631</v>
      </c>
      <c r="F15" s="61">
        <f>E15*5%</f>
        <v>601031.55</v>
      </c>
      <c r="G15" s="61">
        <v>320000</v>
      </c>
      <c r="H15" s="61">
        <f>SUM(E15:G15)</f>
        <v>12941662.55</v>
      </c>
      <c r="I15" s="61">
        <v>0</v>
      </c>
      <c r="J15" s="61">
        <f>SUM(H15:I15)</f>
        <v>12941662.55</v>
      </c>
      <c r="K15" s="61">
        <f t="shared" si="3"/>
        <v>862777.503333333</v>
      </c>
      <c r="L15" s="18">
        <v>15</v>
      </c>
      <c r="M15" s="67">
        <v>17</v>
      </c>
      <c r="N15" s="18">
        <f>SUM(L15:M15)</f>
        <v>32</v>
      </c>
      <c r="O15" s="68">
        <v>45413</v>
      </c>
      <c r="P15" s="69" t="s">
        <v>57</v>
      </c>
      <c r="Q15" s="18" t="str">
        <f t="shared" si="4"/>
        <v>May</v>
      </c>
      <c r="R15" s="18">
        <f t="shared" si="5"/>
        <v>2024</v>
      </c>
      <c r="S15" s="18" t="s">
        <v>29</v>
      </c>
      <c r="T15" s="18" t="s">
        <v>51</v>
      </c>
      <c r="U15" s="18" t="s">
        <v>31</v>
      </c>
      <c r="V15" s="53" t="s">
        <v>52</v>
      </c>
      <c r="W15" s="79">
        <v>45355</v>
      </c>
      <c r="X15" s="18">
        <f ca="1">TODAY()-O15</f>
        <v>170</v>
      </c>
      <c r="Y15" s="18">
        <f>O15-W15</f>
        <v>58</v>
      </c>
      <c r="Z15" s="63">
        <f t="shared" si="8"/>
        <v>1.13</v>
      </c>
      <c r="AA15" t="str">
        <f t="shared" si="9"/>
        <v>Hares</v>
      </c>
    </row>
    <row r="16" ht="16.5" spans="1:27">
      <c r="A16" s="18" t="s">
        <v>58</v>
      </c>
      <c r="B16" s="18" t="s">
        <v>27</v>
      </c>
      <c r="C16" s="60" t="s">
        <v>28</v>
      </c>
      <c r="D16" s="60" t="s">
        <v>28</v>
      </c>
      <c r="E16" s="61">
        <v>5159580</v>
      </c>
      <c r="F16" s="61">
        <f>E16*5%</f>
        <v>257979</v>
      </c>
      <c r="G16" s="61">
        <f>230000+110000</f>
        <v>340000</v>
      </c>
      <c r="H16" s="61">
        <f>SUM(E16:G16)</f>
        <v>5757559</v>
      </c>
      <c r="I16" s="61">
        <v>0</v>
      </c>
      <c r="J16" s="61">
        <f>SUM(H16:I16)</f>
        <v>5757559</v>
      </c>
      <c r="K16" s="61">
        <f t="shared" si="3"/>
        <v>822508.428571429</v>
      </c>
      <c r="L16" s="18">
        <v>7</v>
      </c>
      <c r="M16" s="67">
        <v>27</v>
      </c>
      <c r="N16" s="18">
        <f>SUM(L16:M16)</f>
        <v>34</v>
      </c>
      <c r="O16" s="68">
        <v>45462</v>
      </c>
      <c r="P16" s="69">
        <v>45826</v>
      </c>
      <c r="Q16" s="18" t="str">
        <f t="shared" si="4"/>
        <v>June</v>
      </c>
      <c r="R16" s="18">
        <f t="shared" si="5"/>
        <v>2024</v>
      </c>
      <c r="S16" s="18" t="s">
        <v>29</v>
      </c>
      <c r="T16" s="18" t="s">
        <v>51</v>
      </c>
      <c r="U16" s="18" t="s">
        <v>31</v>
      </c>
      <c r="V16" s="53" t="s">
        <v>52</v>
      </c>
      <c r="W16" s="79">
        <v>45369</v>
      </c>
      <c r="X16" s="18">
        <f ca="1">TODAY()-O16</f>
        <v>121</v>
      </c>
      <c r="Y16" s="18">
        <f>O16-W16</f>
        <v>93</v>
      </c>
      <c r="Z16" s="63">
        <f t="shared" si="8"/>
        <v>3.86</v>
      </c>
      <c r="AA16" t="str">
        <f t="shared" si="9"/>
        <v>Hares</v>
      </c>
    </row>
    <row r="17" ht="16.5" spans="1:27">
      <c r="A17" s="18" t="s">
        <v>59</v>
      </c>
      <c r="B17" s="18" t="s">
        <v>27</v>
      </c>
      <c r="C17" s="60" t="s">
        <v>45</v>
      </c>
      <c r="D17" s="60" t="s">
        <v>45</v>
      </c>
      <c r="E17" s="63"/>
      <c r="F17" s="63"/>
      <c r="G17" s="63"/>
      <c r="H17" s="63"/>
      <c r="I17" s="63"/>
      <c r="J17" s="72">
        <v>1125000</v>
      </c>
      <c r="K17" s="61">
        <f t="shared" si="3"/>
        <v>225000</v>
      </c>
      <c r="L17" s="73">
        <v>5</v>
      </c>
      <c r="M17" s="67">
        <v>0</v>
      </c>
      <c r="N17" s="73">
        <v>5</v>
      </c>
      <c r="O17" s="74">
        <v>45327</v>
      </c>
      <c r="P17" s="75">
        <v>45477</v>
      </c>
      <c r="Q17" s="18" t="str">
        <f t="shared" si="4"/>
        <v>February</v>
      </c>
      <c r="R17" s="18">
        <f t="shared" si="5"/>
        <v>2024</v>
      </c>
      <c r="S17" s="18" t="s">
        <v>29</v>
      </c>
      <c r="T17" s="18" t="s">
        <v>30</v>
      </c>
      <c r="U17" s="18" t="s">
        <v>31</v>
      </c>
      <c r="V17" s="53" t="s">
        <v>32</v>
      </c>
      <c r="W17" s="75">
        <v>45265</v>
      </c>
      <c r="X17" s="18"/>
      <c r="Y17" s="18"/>
      <c r="Z17" s="63">
        <f t="shared" si="8"/>
        <v>0</v>
      </c>
      <c r="AA17" t="str">
        <f t="shared" si="9"/>
        <v>Hares</v>
      </c>
    </row>
    <row r="18" ht="16.5" spans="1:27">
      <c r="A18" s="18" t="s">
        <v>60</v>
      </c>
      <c r="B18" s="18" t="s">
        <v>27</v>
      </c>
      <c r="C18" s="60" t="s">
        <v>28</v>
      </c>
      <c r="D18" s="60" t="s">
        <v>28</v>
      </c>
      <c r="E18" s="61">
        <v>2920457</v>
      </c>
      <c r="F18" s="61">
        <f t="shared" ref="F18:F23" si="10">E18*5%</f>
        <v>146022.85</v>
      </c>
      <c r="G18" s="61">
        <v>60000</v>
      </c>
      <c r="H18" s="61">
        <f t="shared" ref="H18:H23" si="11">SUM(E18:G18)</f>
        <v>3126479.85</v>
      </c>
      <c r="I18" s="61">
        <v>0</v>
      </c>
      <c r="J18" s="61">
        <f t="shared" ref="J18:J23" si="12">SUM(H18:I18)</f>
        <v>3126479.85</v>
      </c>
      <c r="K18" s="61">
        <f t="shared" si="3"/>
        <v>521079.975</v>
      </c>
      <c r="L18" s="18">
        <v>6</v>
      </c>
      <c r="M18" s="67">
        <v>0</v>
      </c>
      <c r="N18" s="18">
        <f t="shared" ref="N18:N23" si="13">SUM(L18:M18)</f>
        <v>6</v>
      </c>
      <c r="O18" s="68">
        <v>45331</v>
      </c>
      <c r="P18" s="69">
        <v>45696</v>
      </c>
      <c r="Q18" s="18" t="str">
        <f t="shared" si="4"/>
        <v>February</v>
      </c>
      <c r="R18" s="18">
        <f t="shared" si="5"/>
        <v>2024</v>
      </c>
      <c r="S18" s="18" t="s">
        <v>29</v>
      </c>
      <c r="T18" s="18" t="s">
        <v>30</v>
      </c>
      <c r="U18" s="18" t="s">
        <v>31</v>
      </c>
      <c r="V18" s="53" t="s">
        <v>32</v>
      </c>
      <c r="W18" s="79">
        <v>45208</v>
      </c>
      <c r="X18" s="18">
        <f ca="1" t="shared" ref="X18:X23" si="14">TODAY()-O18</f>
        <v>252</v>
      </c>
      <c r="Y18" s="18">
        <f>O18-W18</f>
        <v>123</v>
      </c>
      <c r="Z18" s="63">
        <f t="shared" si="8"/>
        <v>0</v>
      </c>
      <c r="AA18" t="str">
        <f t="shared" si="9"/>
        <v>Hares</v>
      </c>
    </row>
    <row r="19" ht="16.5" spans="1:27">
      <c r="A19" s="18" t="s">
        <v>61</v>
      </c>
      <c r="B19" s="18" t="s">
        <v>27</v>
      </c>
      <c r="C19" s="60" t="s">
        <v>28</v>
      </c>
      <c r="D19" s="60" t="s">
        <v>28</v>
      </c>
      <c r="E19" s="61">
        <f>1039872+1855441</f>
        <v>2895313</v>
      </c>
      <c r="F19" s="61">
        <f t="shared" si="10"/>
        <v>144765.65</v>
      </c>
      <c r="G19" s="61">
        <v>60000</v>
      </c>
      <c r="H19" s="61">
        <f t="shared" si="11"/>
        <v>3100078.65</v>
      </c>
      <c r="I19" s="61"/>
      <c r="J19" s="61">
        <f t="shared" si="12"/>
        <v>3100078.65</v>
      </c>
      <c r="K19" s="61">
        <f t="shared" si="3"/>
        <v>516679.775</v>
      </c>
      <c r="L19" s="18">
        <v>6</v>
      </c>
      <c r="M19" s="67">
        <v>0</v>
      </c>
      <c r="N19" s="18">
        <f t="shared" si="13"/>
        <v>6</v>
      </c>
      <c r="O19" s="68">
        <v>45350</v>
      </c>
      <c r="P19" s="69">
        <v>45715</v>
      </c>
      <c r="Q19" s="18" t="str">
        <f t="shared" si="4"/>
        <v>February</v>
      </c>
      <c r="R19" s="18">
        <f t="shared" si="5"/>
        <v>2024</v>
      </c>
      <c r="S19" s="18" t="s">
        <v>29</v>
      </c>
      <c r="T19" s="18" t="s">
        <v>30</v>
      </c>
      <c r="U19" s="18" t="s">
        <v>31</v>
      </c>
      <c r="V19" s="53" t="s">
        <v>32</v>
      </c>
      <c r="W19" s="79">
        <v>45335</v>
      </c>
      <c r="X19" s="18">
        <f ca="1" t="shared" si="14"/>
        <v>233</v>
      </c>
      <c r="Y19" s="18">
        <f>O19-W19</f>
        <v>15</v>
      </c>
      <c r="Z19" s="63">
        <f t="shared" si="8"/>
        <v>0</v>
      </c>
      <c r="AA19" t="str">
        <f t="shared" si="9"/>
        <v>Hares</v>
      </c>
    </row>
    <row r="20" ht="16.5" spans="1:27">
      <c r="A20" s="18" t="s">
        <v>62</v>
      </c>
      <c r="B20" s="18" t="s">
        <v>27</v>
      </c>
      <c r="C20" s="60" t="s">
        <v>28</v>
      </c>
      <c r="D20" s="60" t="s">
        <v>28</v>
      </c>
      <c r="E20" s="61">
        <v>1222368</v>
      </c>
      <c r="F20" s="61">
        <f t="shared" si="10"/>
        <v>61118.4</v>
      </c>
      <c r="G20" s="61">
        <v>30000</v>
      </c>
      <c r="H20" s="61">
        <f t="shared" si="11"/>
        <v>1313486.4</v>
      </c>
      <c r="I20" s="61">
        <v>0</v>
      </c>
      <c r="J20" s="61">
        <f t="shared" si="12"/>
        <v>1313486.4</v>
      </c>
      <c r="K20" s="61">
        <f t="shared" si="3"/>
        <v>437828.8</v>
      </c>
      <c r="L20" s="18">
        <v>3</v>
      </c>
      <c r="M20" s="67">
        <v>0</v>
      </c>
      <c r="N20" s="18">
        <f t="shared" si="13"/>
        <v>3</v>
      </c>
      <c r="O20" s="68">
        <v>45377</v>
      </c>
      <c r="P20" s="69">
        <v>45741</v>
      </c>
      <c r="Q20" s="18" t="str">
        <f t="shared" si="4"/>
        <v>March</v>
      </c>
      <c r="R20" s="18">
        <f t="shared" si="5"/>
        <v>2024</v>
      </c>
      <c r="S20" s="18" t="s">
        <v>29</v>
      </c>
      <c r="T20" s="18" t="s">
        <v>30</v>
      </c>
      <c r="U20" s="18" t="s">
        <v>31</v>
      </c>
      <c r="V20" s="53" t="s">
        <v>32</v>
      </c>
      <c r="W20" s="79"/>
      <c r="X20" s="18">
        <f ca="1" t="shared" si="14"/>
        <v>206</v>
      </c>
      <c r="Y20" s="18"/>
      <c r="Z20" s="63">
        <f t="shared" si="8"/>
        <v>0</v>
      </c>
      <c r="AA20" t="str">
        <f t="shared" si="9"/>
        <v>Hares</v>
      </c>
    </row>
    <row r="21" ht="16.5" spans="1:27">
      <c r="A21" s="18" t="s">
        <v>63</v>
      </c>
      <c r="B21" s="18" t="s">
        <v>64</v>
      </c>
      <c r="C21" s="60" t="s">
        <v>28</v>
      </c>
      <c r="D21" s="53" t="s">
        <v>65</v>
      </c>
      <c r="E21" s="61">
        <f>126596+4172897</f>
        <v>4299493</v>
      </c>
      <c r="F21" s="61">
        <f t="shared" si="10"/>
        <v>214974.65</v>
      </c>
      <c r="G21" s="61">
        <f>210000+5000</f>
        <v>215000</v>
      </c>
      <c r="H21" s="61">
        <f t="shared" si="11"/>
        <v>4729467.65</v>
      </c>
      <c r="I21" s="61">
        <f>5299677+630000+113400+169006+15000+2700</f>
        <v>6229783</v>
      </c>
      <c r="J21" s="61">
        <f t="shared" si="12"/>
        <v>10959250.65</v>
      </c>
      <c r="K21" s="61">
        <f t="shared" si="3"/>
        <v>304423.629166667</v>
      </c>
      <c r="L21" s="18">
        <f>35+1</f>
        <v>36</v>
      </c>
      <c r="M21" s="67">
        <v>7</v>
      </c>
      <c r="N21" s="18">
        <f t="shared" si="13"/>
        <v>43</v>
      </c>
      <c r="O21" s="68">
        <v>45420</v>
      </c>
      <c r="P21" s="69">
        <v>45784</v>
      </c>
      <c r="Q21" s="18" t="str">
        <f t="shared" si="4"/>
        <v>May</v>
      </c>
      <c r="R21" s="18">
        <f t="shared" si="5"/>
        <v>2024</v>
      </c>
      <c r="S21" s="18" t="s">
        <v>29</v>
      </c>
      <c r="T21" s="18" t="s">
        <v>30</v>
      </c>
      <c r="U21" s="18" t="s">
        <v>31</v>
      </c>
      <c r="V21" s="53" t="s">
        <v>32</v>
      </c>
      <c r="W21" s="79"/>
      <c r="X21" s="18">
        <f ca="1" t="shared" si="14"/>
        <v>163</v>
      </c>
      <c r="Y21" s="18">
        <v>0</v>
      </c>
      <c r="Z21" s="63">
        <f t="shared" si="8"/>
        <v>0.19</v>
      </c>
      <c r="AA21" t="str">
        <f t="shared" si="9"/>
        <v>Tigers</v>
      </c>
    </row>
    <row r="22" ht="15.75" customHeight="1" spans="1:27">
      <c r="A22" s="18" t="s">
        <v>66</v>
      </c>
      <c r="B22" s="18" t="s">
        <v>27</v>
      </c>
      <c r="C22" s="60" t="s">
        <v>28</v>
      </c>
      <c r="D22" s="60" t="s">
        <v>28</v>
      </c>
      <c r="E22" s="61">
        <v>519366</v>
      </c>
      <c r="F22" s="61">
        <f t="shared" si="10"/>
        <v>25968.3</v>
      </c>
      <c r="G22" s="61">
        <v>10000</v>
      </c>
      <c r="H22" s="61">
        <f t="shared" si="11"/>
        <v>555334.3</v>
      </c>
      <c r="I22" s="61">
        <v>0</v>
      </c>
      <c r="J22" s="61">
        <f t="shared" si="12"/>
        <v>555334.3</v>
      </c>
      <c r="K22" s="61">
        <f t="shared" si="3"/>
        <v>555334.3</v>
      </c>
      <c r="L22" s="18">
        <v>1</v>
      </c>
      <c r="M22" s="67">
        <v>0</v>
      </c>
      <c r="N22" s="18">
        <f t="shared" si="13"/>
        <v>1</v>
      </c>
      <c r="O22" s="68">
        <v>45443</v>
      </c>
      <c r="P22" s="69">
        <v>45807</v>
      </c>
      <c r="Q22" s="18" t="str">
        <f t="shared" si="4"/>
        <v>May</v>
      </c>
      <c r="R22" s="18">
        <f t="shared" si="5"/>
        <v>2024</v>
      </c>
      <c r="S22" s="18" t="s">
        <v>29</v>
      </c>
      <c r="T22" s="18" t="s">
        <v>30</v>
      </c>
      <c r="U22" s="18" t="s">
        <v>31</v>
      </c>
      <c r="V22" s="53" t="s">
        <v>32</v>
      </c>
      <c r="W22" s="79">
        <v>45442</v>
      </c>
      <c r="X22" s="18">
        <f ca="1" t="shared" si="14"/>
        <v>140</v>
      </c>
      <c r="Y22" s="18">
        <f>O22-W22</f>
        <v>1</v>
      </c>
      <c r="Z22" s="63">
        <f t="shared" si="8"/>
        <v>0</v>
      </c>
      <c r="AA22" t="str">
        <f t="shared" si="9"/>
        <v>Hares</v>
      </c>
    </row>
    <row r="23" ht="15.75" customHeight="1" spans="1:27">
      <c r="A23" s="18" t="s">
        <v>67</v>
      </c>
      <c r="B23" s="18" t="s">
        <v>27</v>
      </c>
      <c r="C23" s="60" t="s">
        <v>28</v>
      </c>
      <c r="D23" s="60" t="s">
        <v>28</v>
      </c>
      <c r="E23" s="61">
        <f>2580935+16648201</f>
        <v>19229136</v>
      </c>
      <c r="F23" s="61">
        <f t="shared" si="10"/>
        <v>961456.8</v>
      </c>
      <c r="G23" s="61">
        <v>320000</v>
      </c>
      <c r="H23" s="61">
        <f t="shared" si="11"/>
        <v>20510592.8</v>
      </c>
      <c r="I23" s="61">
        <v>0</v>
      </c>
      <c r="J23" s="61">
        <f t="shared" si="12"/>
        <v>20510592.8</v>
      </c>
      <c r="K23" s="61">
        <f t="shared" si="3"/>
        <v>976694.895238095</v>
      </c>
      <c r="L23" s="18">
        <v>21</v>
      </c>
      <c r="M23" s="67">
        <f>64-21</f>
        <v>43</v>
      </c>
      <c r="N23" s="18">
        <f t="shared" si="13"/>
        <v>64</v>
      </c>
      <c r="O23" s="68">
        <v>45464</v>
      </c>
      <c r="P23" s="69">
        <v>45828</v>
      </c>
      <c r="Q23" s="18" t="str">
        <f t="shared" si="4"/>
        <v>June</v>
      </c>
      <c r="R23" s="18">
        <f t="shared" si="5"/>
        <v>2024</v>
      </c>
      <c r="S23" s="18" t="s">
        <v>29</v>
      </c>
      <c r="T23" s="18" t="s">
        <v>30</v>
      </c>
      <c r="U23" s="18" t="s">
        <v>31</v>
      </c>
      <c r="V23" s="53" t="s">
        <v>32</v>
      </c>
      <c r="W23" s="79">
        <v>45435</v>
      </c>
      <c r="X23" s="18">
        <f ca="1" t="shared" si="14"/>
        <v>119</v>
      </c>
      <c r="Y23" s="18">
        <f>O23-W23</f>
        <v>29</v>
      </c>
      <c r="Z23" s="63">
        <f t="shared" si="8"/>
        <v>2.05</v>
      </c>
      <c r="AA23" t="str">
        <f t="shared" si="9"/>
        <v>Hares</v>
      </c>
    </row>
    <row r="24" ht="15.75" customHeight="1" spans="1:27">
      <c r="A24" s="18" t="s">
        <v>59</v>
      </c>
      <c r="B24" s="62" t="s">
        <v>27</v>
      </c>
      <c r="C24" s="60" t="s">
        <v>45</v>
      </c>
      <c r="D24" s="60" t="s">
        <v>45</v>
      </c>
      <c r="E24" s="63"/>
      <c r="F24" s="63"/>
      <c r="G24" s="63"/>
      <c r="H24" s="63"/>
      <c r="I24" s="63"/>
      <c r="J24" s="72">
        <v>1185065</v>
      </c>
      <c r="K24" s="61">
        <f t="shared" si="3"/>
        <v>237013</v>
      </c>
      <c r="L24" s="73">
        <v>5</v>
      </c>
      <c r="M24" s="67">
        <v>0</v>
      </c>
      <c r="N24" s="73">
        <v>5</v>
      </c>
      <c r="O24" s="74">
        <v>45536</v>
      </c>
      <c r="P24" s="75">
        <v>45716</v>
      </c>
      <c r="Q24" s="18" t="str">
        <f t="shared" si="4"/>
        <v>September</v>
      </c>
      <c r="R24" s="18">
        <f t="shared" si="5"/>
        <v>2024</v>
      </c>
      <c r="S24" s="18" t="s">
        <v>29</v>
      </c>
      <c r="T24" s="18" t="s">
        <v>30</v>
      </c>
      <c r="U24" s="18" t="s">
        <v>31</v>
      </c>
      <c r="V24" s="53" t="s">
        <v>32</v>
      </c>
      <c r="W24" s="81"/>
      <c r="X24" s="81"/>
      <c r="Y24" s="81"/>
      <c r="Z24" s="63">
        <f t="shared" si="8"/>
        <v>0</v>
      </c>
      <c r="AA24" t="str">
        <f t="shared" si="9"/>
        <v>Hares</v>
      </c>
    </row>
    <row r="25" ht="15.75" customHeight="1" spans="1:27">
      <c r="A25" s="18" t="s">
        <v>68</v>
      </c>
      <c r="B25" s="18" t="s">
        <v>69</v>
      </c>
      <c r="C25" s="60" t="s">
        <v>28</v>
      </c>
      <c r="D25" s="60" t="s">
        <v>28</v>
      </c>
      <c r="E25" s="61">
        <v>3808773</v>
      </c>
      <c r="F25" s="61">
        <f t="shared" ref="F25:F71" si="15">E25*5%</f>
        <v>190438.65</v>
      </c>
      <c r="G25" s="61">
        <v>170000</v>
      </c>
      <c r="H25" s="61">
        <f t="shared" ref="H25:H71" si="16">SUM(E25:G25)</f>
        <v>4169211.65</v>
      </c>
      <c r="I25" s="61">
        <f>6435139+510000+91800</f>
        <v>7036939</v>
      </c>
      <c r="J25" s="61">
        <f t="shared" ref="J25:J71" si="17">SUM(H25:I25)</f>
        <v>11206150.65</v>
      </c>
      <c r="K25" s="61">
        <f t="shared" si="3"/>
        <v>589797.402631579</v>
      </c>
      <c r="L25" s="18">
        <v>19</v>
      </c>
      <c r="M25" s="67">
        <f>34-17</f>
        <v>17</v>
      </c>
      <c r="N25" s="18">
        <f>SUM(L25:M25)</f>
        <v>36</v>
      </c>
      <c r="O25" s="68">
        <v>45362</v>
      </c>
      <c r="P25" s="69">
        <v>45726</v>
      </c>
      <c r="Q25" s="18" t="str">
        <f t="shared" si="4"/>
        <v>March</v>
      </c>
      <c r="R25" s="18">
        <f t="shared" si="5"/>
        <v>2024</v>
      </c>
      <c r="S25" s="18" t="s">
        <v>29</v>
      </c>
      <c r="T25" s="18" t="s">
        <v>70</v>
      </c>
      <c r="U25" s="18" t="s">
        <v>31</v>
      </c>
      <c r="V25" s="53" t="s">
        <v>32</v>
      </c>
      <c r="W25" s="79">
        <v>45301</v>
      </c>
      <c r="X25" s="18">
        <f ca="1" t="shared" ref="X25:X70" si="18">TODAY()-O25</f>
        <v>221</v>
      </c>
      <c r="Y25" s="18">
        <f t="shared" ref="Y25:Y37" si="19">O25-W25</f>
        <v>61</v>
      </c>
      <c r="Z25" s="63">
        <f t="shared" si="8"/>
        <v>0.89</v>
      </c>
      <c r="AA25" t="str">
        <f t="shared" si="9"/>
        <v>Hares</v>
      </c>
    </row>
    <row r="26" ht="15.75" customHeight="1" spans="1:27">
      <c r="A26" s="18" t="s">
        <v>71</v>
      </c>
      <c r="B26" s="18" t="s">
        <v>27</v>
      </c>
      <c r="C26" s="60" t="s">
        <v>28</v>
      </c>
      <c r="D26" s="60" t="s">
        <v>28</v>
      </c>
      <c r="E26" s="61">
        <v>43221196.51</v>
      </c>
      <c r="F26" s="61">
        <f t="shared" si="15"/>
        <v>2161059.8255</v>
      </c>
      <c r="G26" s="61">
        <v>1310000</v>
      </c>
      <c r="H26" s="61">
        <f t="shared" si="16"/>
        <v>46692256.3355</v>
      </c>
      <c r="I26" s="61">
        <v>0</v>
      </c>
      <c r="J26" s="61">
        <f t="shared" si="17"/>
        <v>46692256.3355</v>
      </c>
      <c r="K26" s="61">
        <f t="shared" si="3"/>
        <v>536692.601557471</v>
      </c>
      <c r="L26" s="18">
        <f>18+69</f>
        <v>87</v>
      </c>
      <c r="M26" s="67">
        <f>131-87</f>
        <v>44</v>
      </c>
      <c r="N26" s="18">
        <f>SUM(L26:M26)</f>
        <v>131</v>
      </c>
      <c r="O26" s="68">
        <v>45395</v>
      </c>
      <c r="P26" s="69">
        <v>45759</v>
      </c>
      <c r="Q26" s="18" t="str">
        <f t="shared" si="4"/>
        <v>April</v>
      </c>
      <c r="R26" s="18">
        <f t="shared" si="5"/>
        <v>2024</v>
      </c>
      <c r="S26" s="18" t="s">
        <v>29</v>
      </c>
      <c r="T26" s="18" t="s">
        <v>70</v>
      </c>
      <c r="U26" s="18" t="s">
        <v>31</v>
      </c>
      <c r="V26" s="53" t="s">
        <v>32</v>
      </c>
      <c r="W26" s="79">
        <v>45296</v>
      </c>
      <c r="X26" s="18">
        <f ca="1" t="shared" si="18"/>
        <v>188</v>
      </c>
      <c r="Y26" s="18">
        <f t="shared" si="19"/>
        <v>99</v>
      </c>
      <c r="Z26" s="63">
        <f t="shared" si="8"/>
        <v>0.51</v>
      </c>
      <c r="AA26" t="str">
        <f t="shared" si="9"/>
        <v>Tigers</v>
      </c>
    </row>
    <row r="27" ht="15.75" customHeight="1" spans="1:27">
      <c r="A27" s="18" t="s">
        <v>72</v>
      </c>
      <c r="B27" s="18" t="s">
        <v>27</v>
      </c>
      <c r="C27" s="60" t="s">
        <v>28</v>
      </c>
      <c r="D27" s="60" t="s">
        <v>28</v>
      </c>
      <c r="E27" s="61">
        <v>131969250</v>
      </c>
      <c r="F27" s="61">
        <f t="shared" si="15"/>
        <v>6598462.5</v>
      </c>
      <c r="G27" s="61">
        <v>1527500</v>
      </c>
      <c r="H27" s="61">
        <f t="shared" si="16"/>
        <v>140095212.5</v>
      </c>
      <c r="I27" s="61">
        <v>0</v>
      </c>
      <c r="J27" s="61">
        <f t="shared" si="17"/>
        <v>140095212.5</v>
      </c>
      <c r="K27" s="61">
        <f t="shared" si="3"/>
        <v>741244.510582011</v>
      </c>
      <c r="L27" s="18">
        <v>189</v>
      </c>
      <c r="M27" s="67">
        <f>611-L27</f>
        <v>422</v>
      </c>
      <c r="N27" s="18">
        <f>SUM(L27:M27)</f>
        <v>611</v>
      </c>
      <c r="O27" s="68">
        <v>45444</v>
      </c>
      <c r="P27" s="69">
        <v>45808</v>
      </c>
      <c r="Q27" s="18" t="str">
        <f t="shared" si="4"/>
        <v>June</v>
      </c>
      <c r="R27" s="18">
        <f t="shared" si="5"/>
        <v>2024</v>
      </c>
      <c r="S27" s="18" t="s">
        <v>34</v>
      </c>
      <c r="T27" s="18" t="s">
        <v>73</v>
      </c>
      <c r="U27" s="18"/>
      <c r="V27" s="18"/>
      <c r="W27" s="79">
        <v>45411</v>
      </c>
      <c r="X27" s="18">
        <f ca="1" t="shared" si="18"/>
        <v>139</v>
      </c>
      <c r="Y27" s="18">
        <f t="shared" si="19"/>
        <v>33</v>
      </c>
      <c r="Z27" s="63">
        <f t="shared" si="8"/>
        <v>2.23</v>
      </c>
      <c r="AA27" t="str">
        <f t="shared" si="9"/>
        <v>Elephants</v>
      </c>
    </row>
    <row r="28" ht="15.75" customHeight="1" spans="1:27">
      <c r="A28" s="18" t="s">
        <v>74</v>
      </c>
      <c r="B28" s="18" t="s">
        <v>27</v>
      </c>
      <c r="C28" s="60" t="s">
        <v>28</v>
      </c>
      <c r="D28" s="60" t="s">
        <v>28</v>
      </c>
      <c r="E28" s="61">
        <v>1476299</v>
      </c>
      <c r="F28" s="61">
        <f t="shared" si="15"/>
        <v>73814.95</v>
      </c>
      <c r="G28" s="61">
        <v>20000</v>
      </c>
      <c r="H28" s="61">
        <f t="shared" si="16"/>
        <v>1570113.95</v>
      </c>
      <c r="I28" s="61">
        <v>0</v>
      </c>
      <c r="J28" s="61">
        <f t="shared" si="17"/>
        <v>1570113.95</v>
      </c>
      <c r="K28" s="61">
        <f t="shared" si="3"/>
        <v>1570113.95</v>
      </c>
      <c r="L28" s="18">
        <v>1</v>
      </c>
      <c r="M28" s="67">
        <v>1</v>
      </c>
      <c r="N28" s="18">
        <f>SUM(L28:M28)</f>
        <v>2</v>
      </c>
      <c r="O28" s="68">
        <v>45453</v>
      </c>
      <c r="P28" s="69">
        <v>45817</v>
      </c>
      <c r="Q28" s="18" t="str">
        <f t="shared" si="4"/>
        <v>June</v>
      </c>
      <c r="R28" s="18">
        <f t="shared" si="5"/>
        <v>2024</v>
      </c>
      <c r="S28" s="18" t="s">
        <v>34</v>
      </c>
      <c r="T28" s="18" t="s">
        <v>75</v>
      </c>
      <c r="U28" s="18"/>
      <c r="V28" s="18"/>
      <c r="W28" s="79">
        <v>45436</v>
      </c>
      <c r="X28" s="18">
        <f ca="1" t="shared" si="18"/>
        <v>130</v>
      </c>
      <c r="Y28" s="18">
        <f t="shared" si="19"/>
        <v>17</v>
      </c>
      <c r="Z28" s="63">
        <f t="shared" si="8"/>
        <v>1</v>
      </c>
      <c r="AA28" t="str">
        <f t="shared" si="9"/>
        <v>Hares</v>
      </c>
    </row>
    <row r="29" ht="15.75" customHeight="1" spans="1:27">
      <c r="A29" s="18" t="s">
        <v>76</v>
      </c>
      <c r="B29" s="18" t="s">
        <v>27</v>
      </c>
      <c r="C29" s="60" t="s">
        <v>28</v>
      </c>
      <c r="D29" s="60" t="s">
        <v>28</v>
      </c>
      <c r="E29" s="61">
        <v>1405258</v>
      </c>
      <c r="F29" s="61">
        <f t="shared" si="15"/>
        <v>70262.9</v>
      </c>
      <c r="G29" s="61">
        <v>30000</v>
      </c>
      <c r="H29" s="61">
        <f t="shared" si="16"/>
        <v>1505520.9</v>
      </c>
      <c r="I29" s="61">
        <v>0</v>
      </c>
      <c r="J29" s="61">
        <f t="shared" si="17"/>
        <v>1505520.9</v>
      </c>
      <c r="K29" s="61">
        <f t="shared" si="3"/>
        <v>501840.3</v>
      </c>
      <c r="L29" s="18">
        <v>3</v>
      </c>
      <c r="M29" s="67">
        <v>0</v>
      </c>
      <c r="N29" s="18">
        <v>3</v>
      </c>
      <c r="O29" s="68">
        <v>45292</v>
      </c>
      <c r="P29" s="69" t="s">
        <v>77</v>
      </c>
      <c r="Q29" s="18" t="str">
        <f t="shared" si="4"/>
        <v>January</v>
      </c>
      <c r="R29" s="18">
        <f t="shared" si="5"/>
        <v>2024</v>
      </c>
      <c r="S29" s="18" t="s">
        <v>29</v>
      </c>
      <c r="T29" s="18" t="s">
        <v>29</v>
      </c>
      <c r="U29" s="18"/>
      <c r="V29" s="18"/>
      <c r="W29" s="79">
        <v>45229</v>
      </c>
      <c r="X29" s="18">
        <f ca="1" t="shared" si="18"/>
        <v>291</v>
      </c>
      <c r="Y29" s="18">
        <f t="shared" si="19"/>
        <v>63</v>
      </c>
      <c r="Z29" s="63">
        <f t="shared" si="8"/>
        <v>0</v>
      </c>
      <c r="AA29" t="str">
        <f t="shared" si="9"/>
        <v>Hares</v>
      </c>
    </row>
    <row r="30" ht="15.75" customHeight="1" spans="1:27">
      <c r="A30" s="18" t="s">
        <v>78</v>
      </c>
      <c r="B30" s="18" t="s">
        <v>27</v>
      </c>
      <c r="C30" s="60" t="s">
        <v>28</v>
      </c>
      <c r="D30" s="60" t="s">
        <v>28</v>
      </c>
      <c r="E30" s="61">
        <v>1699519</v>
      </c>
      <c r="F30" s="61">
        <f t="shared" si="15"/>
        <v>84975.95</v>
      </c>
      <c r="G30" s="61">
        <v>40000</v>
      </c>
      <c r="H30" s="61">
        <f t="shared" si="16"/>
        <v>1824494.95</v>
      </c>
      <c r="I30" s="61">
        <v>0</v>
      </c>
      <c r="J30" s="61">
        <f t="shared" si="17"/>
        <v>1824494.95</v>
      </c>
      <c r="K30" s="61">
        <f t="shared" si="3"/>
        <v>1824494.95</v>
      </c>
      <c r="L30" s="18">
        <v>1</v>
      </c>
      <c r="M30" s="67">
        <v>3</v>
      </c>
      <c r="N30" s="18">
        <f t="shared" ref="N30:N49" si="20">SUM(L30:M30)</f>
        <v>4</v>
      </c>
      <c r="O30" s="68">
        <v>45301</v>
      </c>
      <c r="P30" s="69">
        <v>45666</v>
      </c>
      <c r="Q30" s="18" t="str">
        <f t="shared" si="4"/>
        <v>January</v>
      </c>
      <c r="R30" s="18">
        <f t="shared" si="5"/>
        <v>2024</v>
      </c>
      <c r="S30" s="18" t="s">
        <v>29</v>
      </c>
      <c r="T30" s="18" t="s">
        <v>29</v>
      </c>
      <c r="U30" s="18"/>
      <c r="V30" s="18"/>
      <c r="W30" s="79">
        <v>45273</v>
      </c>
      <c r="X30" s="18">
        <f ca="1" t="shared" si="18"/>
        <v>282</v>
      </c>
      <c r="Y30" s="18">
        <f t="shared" si="19"/>
        <v>28</v>
      </c>
      <c r="Z30" s="63">
        <f t="shared" si="8"/>
        <v>3</v>
      </c>
      <c r="AA30" t="str">
        <f t="shared" si="9"/>
        <v>Hares</v>
      </c>
    </row>
    <row r="31" ht="15.75" customHeight="1" spans="1:27">
      <c r="A31" s="18" t="s">
        <v>79</v>
      </c>
      <c r="B31" s="18" t="s">
        <v>27</v>
      </c>
      <c r="C31" s="60" t="s">
        <v>28</v>
      </c>
      <c r="D31" s="60" t="s">
        <v>28</v>
      </c>
      <c r="E31" s="61">
        <f>943648+3328599</f>
        <v>4272247</v>
      </c>
      <c r="F31" s="61">
        <f t="shared" si="15"/>
        <v>213612.35</v>
      </c>
      <c r="G31" s="61">
        <v>140000</v>
      </c>
      <c r="H31" s="61">
        <f t="shared" si="16"/>
        <v>4625859.35</v>
      </c>
      <c r="I31" s="61">
        <v>0</v>
      </c>
      <c r="J31" s="61">
        <f t="shared" si="17"/>
        <v>4625859.35</v>
      </c>
      <c r="K31" s="61">
        <f t="shared" si="3"/>
        <v>578232.41875</v>
      </c>
      <c r="L31" s="18">
        <v>8</v>
      </c>
      <c r="M31" s="67">
        <v>2</v>
      </c>
      <c r="N31" s="18">
        <f t="shared" si="20"/>
        <v>10</v>
      </c>
      <c r="O31" s="68">
        <v>45301</v>
      </c>
      <c r="P31" s="69">
        <v>45666</v>
      </c>
      <c r="Q31" s="18" t="str">
        <f t="shared" si="4"/>
        <v>January</v>
      </c>
      <c r="R31" s="18">
        <f t="shared" si="5"/>
        <v>2024</v>
      </c>
      <c r="S31" s="18" t="s">
        <v>29</v>
      </c>
      <c r="T31" s="18" t="s">
        <v>29</v>
      </c>
      <c r="U31" s="18"/>
      <c r="V31" s="18"/>
      <c r="W31" s="79">
        <v>45280</v>
      </c>
      <c r="X31" s="18">
        <f ca="1" t="shared" si="18"/>
        <v>282</v>
      </c>
      <c r="Y31" s="18">
        <f t="shared" si="19"/>
        <v>21</v>
      </c>
      <c r="Z31" s="63">
        <f t="shared" si="8"/>
        <v>0.25</v>
      </c>
      <c r="AA31" t="str">
        <f t="shared" si="9"/>
        <v>Hares</v>
      </c>
    </row>
    <row r="32" ht="15.75" customHeight="1" spans="1:27">
      <c r="A32" s="18" t="s">
        <v>80</v>
      </c>
      <c r="B32" s="18" t="s">
        <v>27</v>
      </c>
      <c r="C32" s="60" t="s">
        <v>28</v>
      </c>
      <c r="D32" s="60" t="s">
        <v>28</v>
      </c>
      <c r="E32" s="61">
        <v>2731792</v>
      </c>
      <c r="F32" s="61">
        <f t="shared" si="15"/>
        <v>136589.6</v>
      </c>
      <c r="G32" s="61">
        <v>50000</v>
      </c>
      <c r="H32" s="61">
        <f t="shared" si="16"/>
        <v>2918381.6</v>
      </c>
      <c r="I32" s="61">
        <v>0</v>
      </c>
      <c r="J32" s="61">
        <f t="shared" si="17"/>
        <v>2918381.6</v>
      </c>
      <c r="K32" s="61">
        <f t="shared" si="3"/>
        <v>2918381.6</v>
      </c>
      <c r="L32" s="18">
        <v>1</v>
      </c>
      <c r="M32" s="67">
        <v>4</v>
      </c>
      <c r="N32" s="18">
        <f t="shared" si="20"/>
        <v>5</v>
      </c>
      <c r="O32" s="68">
        <v>45304</v>
      </c>
      <c r="P32" s="69">
        <v>45669</v>
      </c>
      <c r="Q32" s="18" t="str">
        <f t="shared" si="4"/>
        <v>January</v>
      </c>
      <c r="R32" s="18">
        <f t="shared" si="5"/>
        <v>2024</v>
      </c>
      <c r="S32" s="18" t="s">
        <v>29</v>
      </c>
      <c r="T32" s="18" t="s">
        <v>29</v>
      </c>
      <c r="U32" s="18"/>
      <c r="V32" s="18"/>
      <c r="W32" s="79">
        <v>45287</v>
      </c>
      <c r="X32" s="18">
        <f ca="1" t="shared" si="18"/>
        <v>279</v>
      </c>
      <c r="Y32" s="18">
        <f t="shared" si="19"/>
        <v>17</v>
      </c>
      <c r="Z32" s="63">
        <f t="shared" si="8"/>
        <v>4</v>
      </c>
      <c r="AA32" t="str">
        <f t="shared" si="9"/>
        <v>Hares</v>
      </c>
    </row>
    <row r="33" ht="15.75" customHeight="1" spans="1:27">
      <c r="A33" s="18" t="s">
        <v>81</v>
      </c>
      <c r="B33" s="18" t="s">
        <v>69</v>
      </c>
      <c r="C33" s="60" t="s">
        <v>28</v>
      </c>
      <c r="D33" s="60" t="s">
        <v>28</v>
      </c>
      <c r="E33" s="61">
        <f>2713988+6580490</f>
        <v>9294478</v>
      </c>
      <c r="F33" s="61">
        <f t="shared" si="15"/>
        <v>464723.9</v>
      </c>
      <c r="G33" s="61">
        <f>260000+600000</f>
        <v>860000</v>
      </c>
      <c r="H33" s="61">
        <f t="shared" si="16"/>
        <v>10619201.9</v>
      </c>
      <c r="I33" s="61">
        <f>4613600+5416000</f>
        <v>10029600</v>
      </c>
      <c r="J33" s="61">
        <f t="shared" si="17"/>
        <v>20648801.9</v>
      </c>
      <c r="K33" s="61">
        <f t="shared" si="3"/>
        <v>135847.380921053</v>
      </c>
      <c r="L33" s="18">
        <f>32+120</f>
        <v>152</v>
      </c>
      <c r="M33" s="67">
        <v>0</v>
      </c>
      <c r="N33" s="18">
        <f t="shared" si="20"/>
        <v>152</v>
      </c>
      <c r="O33" s="68">
        <v>45331</v>
      </c>
      <c r="P33" s="69">
        <v>45696</v>
      </c>
      <c r="Q33" s="18" t="str">
        <f t="shared" si="4"/>
        <v>February</v>
      </c>
      <c r="R33" s="18">
        <f t="shared" si="5"/>
        <v>2024</v>
      </c>
      <c r="S33" s="18" t="s">
        <v>29</v>
      </c>
      <c r="T33" s="18" t="s">
        <v>29</v>
      </c>
      <c r="U33" s="18"/>
      <c r="V33" s="18"/>
      <c r="W33" s="79">
        <v>45244</v>
      </c>
      <c r="X33" s="18">
        <f ca="1" t="shared" si="18"/>
        <v>252</v>
      </c>
      <c r="Y33" s="18">
        <f t="shared" si="19"/>
        <v>87</v>
      </c>
      <c r="Z33" s="63">
        <f t="shared" si="8"/>
        <v>0</v>
      </c>
      <c r="AA33" t="str">
        <f t="shared" si="9"/>
        <v>Elephants</v>
      </c>
    </row>
    <row r="34" ht="15.75" customHeight="1" spans="1:27">
      <c r="A34" s="18" t="s">
        <v>82</v>
      </c>
      <c r="B34" s="18" t="s">
        <v>27</v>
      </c>
      <c r="C34" s="60" t="s">
        <v>28</v>
      </c>
      <c r="D34" s="60" t="s">
        <v>28</v>
      </c>
      <c r="E34" s="61">
        <v>673775</v>
      </c>
      <c r="F34" s="61">
        <f t="shared" si="15"/>
        <v>33688.75</v>
      </c>
      <c r="G34" s="61">
        <v>10000</v>
      </c>
      <c r="H34" s="61">
        <f t="shared" si="16"/>
        <v>717463.75</v>
      </c>
      <c r="I34" s="61">
        <v>0</v>
      </c>
      <c r="J34" s="61">
        <f t="shared" si="17"/>
        <v>717463.75</v>
      </c>
      <c r="K34" s="61">
        <f t="shared" si="3"/>
        <v>717463.75</v>
      </c>
      <c r="L34" s="18">
        <v>1</v>
      </c>
      <c r="M34" s="67">
        <v>0</v>
      </c>
      <c r="N34" s="18">
        <f t="shared" si="20"/>
        <v>1</v>
      </c>
      <c r="O34" s="68">
        <v>45337</v>
      </c>
      <c r="P34" s="69">
        <v>45702</v>
      </c>
      <c r="Q34" s="18" t="str">
        <f t="shared" si="4"/>
        <v>February</v>
      </c>
      <c r="R34" s="18">
        <f t="shared" si="5"/>
        <v>2024</v>
      </c>
      <c r="S34" s="18" t="s">
        <v>29</v>
      </c>
      <c r="T34" s="18" t="s">
        <v>29</v>
      </c>
      <c r="U34" s="18"/>
      <c r="V34" s="18"/>
      <c r="W34" s="79">
        <v>45209</v>
      </c>
      <c r="X34" s="18">
        <f ca="1" t="shared" si="18"/>
        <v>246</v>
      </c>
      <c r="Y34" s="18">
        <f t="shared" si="19"/>
        <v>128</v>
      </c>
      <c r="Z34" s="63">
        <f t="shared" si="8"/>
        <v>0</v>
      </c>
      <c r="AA34" t="str">
        <f t="shared" si="9"/>
        <v>Hares</v>
      </c>
    </row>
    <row r="35" ht="15.75" customHeight="1" spans="1:27">
      <c r="A35" s="18" t="s">
        <v>83</v>
      </c>
      <c r="B35" s="18" t="s">
        <v>27</v>
      </c>
      <c r="C35" s="60" t="s">
        <v>28</v>
      </c>
      <c r="D35" s="60" t="s">
        <v>28</v>
      </c>
      <c r="E35" s="61">
        <v>379939</v>
      </c>
      <c r="F35" s="61">
        <f t="shared" si="15"/>
        <v>18996.95</v>
      </c>
      <c r="G35" s="61">
        <v>10000</v>
      </c>
      <c r="H35" s="61">
        <f t="shared" si="16"/>
        <v>408935.95</v>
      </c>
      <c r="I35" s="61">
        <v>0</v>
      </c>
      <c r="J35" s="61">
        <f t="shared" si="17"/>
        <v>408935.95</v>
      </c>
      <c r="K35" s="61">
        <f t="shared" si="3"/>
        <v>408935.95</v>
      </c>
      <c r="L35" s="18">
        <v>1</v>
      </c>
      <c r="M35" s="67">
        <v>0</v>
      </c>
      <c r="N35" s="18">
        <f t="shared" si="20"/>
        <v>1</v>
      </c>
      <c r="O35" s="68">
        <v>45356</v>
      </c>
      <c r="P35" s="69">
        <v>45720</v>
      </c>
      <c r="Q35" s="18" t="str">
        <f t="shared" si="4"/>
        <v>March</v>
      </c>
      <c r="R35" s="18">
        <f t="shared" si="5"/>
        <v>2024</v>
      </c>
      <c r="S35" s="18" t="s">
        <v>29</v>
      </c>
      <c r="T35" s="18" t="s">
        <v>29</v>
      </c>
      <c r="U35" s="18"/>
      <c r="V35" s="18"/>
      <c r="W35" s="79">
        <v>45356</v>
      </c>
      <c r="X35" s="18">
        <f ca="1" t="shared" si="18"/>
        <v>227</v>
      </c>
      <c r="Y35" s="18">
        <f t="shared" si="19"/>
        <v>0</v>
      </c>
      <c r="Z35" s="63">
        <f t="shared" si="8"/>
        <v>0</v>
      </c>
      <c r="AA35" t="str">
        <f t="shared" si="9"/>
        <v>Hares</v>
      </c>
    </row>
    <row r="36" ht="15.75" customHeight="1" spans="1:27">
      <c r="A36" s="18" t="s">
        <v>84</v>
      </c>
      <c r="B36" s="18" t="s">
        <v>69</v>
      </c>
      <c r="C36" s="60" t="s">
        <v>28</v>
      </c>
      <c r="D36" s="60" t="s">
        <v>28</v>
      </c>
      <c r="E36" s="61">
        <v>4210083</v>
      </c>
      <c r="F36" s="61">
        <f t="shared" si="15"/>
        <v>210504.15</v>
      </c>
      <c r="G36" s="61">
        <v>265000</v>
      </c>
      <c r="H36" s="61">
        <f t="shared" si="16"/>
        <v>4685587.15</v>
      </c>
      <c r="I36" s="61">
        <f>8867296+2280000+410400</f>
        <v>11557696</v>
      </c>
      <c r="J36" s="61">
        <f t="shared" si="17"/>
        <v>16243283.15</v>
      </c>
      <c r="K36" s="61">
        <f t="shared" si="3"/>
        <v>324865.663</v>
      </c>
      <c r="L36" s="18">
        <v>50</v>
      </c>
      <c r="M36" s="67">
        <v>100</v>
      </c>
      <c r="N36" s="18">
        <f t="shared" si="20"/>
        <v>150</v>
      </c>
      <c r="O36" s="68">
        <v>45363</v>
      </c>
      <c r="P36" s="69">
        <v>45727</v>
      </c>
      <c r="Q36" s="18" t="str">
        <f t="shared" si="4"/>
        <v>March</v>
      </c>
      <c r="R36" s="18">
        <f t="shared" si="5"/>
        <v>2024</v>
      </c>
      <c r="S36" s="18" t="s">
        <v>29</v>
      </c>
      <c r="T36" s="18" t="s">
        <v>29</v>
      </c>
      <c r="U36" s="18"/>
      <c r="V36" s="18"/>
      <c r="W36" s="79">
        <v>45327</v>
      </c>
      <c r="X36" s="18">
        <f ca="1" t="shared" si="18"/>
        <v>220</v>
      </c>
      <c r="Y36" s="18">
        <f t="shared" si="19"/>
        <v>36</v>
      </c>
      <c r="Z36" s="63">
        <f t="shared" si="8"/>
        <v>2</v>
      </c>
      <c r="AA36" t="str">
        <f t="shared" si="9"/>
        <v>Tigers</v>
      </c>
    </row>
    <row r="37" ht="15.75" customHeight="1" spans="1:27">
      <c r="A37" s="18" t="s">
        <v>85</v>
      </c>
      <c r="B37" s="18" t="s">
        <v>27</v>
      </c>
      <c r="C37" s="60" t="s">
        <v>28</v>
      </c>
      <c r="D37" s="60" t="s">
        <v>28</v>
      </c>
      <c r="E37" s="61">
        <v>595144</v>
      </c>
      <c r="F37" s="61">
        <f t="shared" si="15"/>
        <v>29757.2</v>
      </c>
      <c r="G37" s="61">
        <v>10000</v>
      </c>
      <c r="H37" s="61">
        <f t="shared" si="16"/>
        <v>634901.2</v>
      </c>
      <c r="I37" s="61">
        <v>0</v>
      </c>
      <c r="J37" s="61">
        <f t="shared" si="17"/>
        <v>634901.2</v>
      </c>
      <c r="K37" s="61">
        <f t="shared" si="3"/>
        <v>634901.2</v>
      </c>
      <c r="L37" s="18">
        <v>1</v>
      </c>
      <c r="M37" s="67">
        <v>0</v>
      </c>
      <c r="N37" s="18">
        <f t="shared" si="20"/>
        <v>1</v>
      </c>
      <c r="O37" s="68">
        <v>45365</v>
      </c>
      <c r="P37" s="69">
        <v>45728</v>
      </c>
      <c r="Q37" s="18" t="str">
        <f t="shared" si="4"/>
        <v>March</v>
      </c>
      <c r="R37" s="18">
        <f t="shared" si="5"/>
        <v>2024</v>
      </c>
      <c r="S37" s="18" t="s">
        <v>29</v>
      </c>
      <c r="T37" s="18" t="s">
        <v>29</v>
      </c>
      <c r="U37" s="18"/>
      <c r="V37" s="18"/>
      <c r="W37" s="79">
        <v>45365</v>
      </c>
      <c r="X37" s="18">
        <f ca="1" t="shared" si="18"/>
        <v>218</v>
      </c>
      <c r="Y37" s="18">
        <f t="shared" si="19"/>
        <v>0</v>
      </c>
      <c r="Z37" s="63">
        <f t="shared" si="8"/>
        <v>0</v>
      </c>
      <c r="AA37" t="str">
        <f t="shared" si="9"/>
        <v>Hares</v>
      </c>
    </row>
    <row r="38" ht="15.75" customHeight="1" spans="1:27">
      <c r="A38" s="18" t="s">
        <v>86</v>
      </c>
      <c r="B38" s="18" t="s">
        <v>87</v>
      </c>
      <c r="C38" s="60" t="s">
        <v>28</v>
      </c>
      <c r="D38" s="53" t="s">
        <v>65</v>
      </c>
      <c r="E38" s="61">
        <v>3790302</v>
      </c>
      <c r="F38" s="61">
        <f t="shared" si="15"/>
        <v>189515.1</v>
      </c>
      <c r="G38" s="61">
        <v>70000</v>
      </c>
      <c r="H38" s="61">
        <f t="shared" si="16"/>
        <v>4049817.1</v>
      </c>
      <c r="I38" s="61">
        <v>0</v>
      </c>
      <c r="J38" s="61">
        <f t="shared" si="17"/>
        <v>4049817.1</v>
      </c>
      <c r="K38" s="61">
        <f t="shared" si="3"/>
        <v>1012454.275</v>
      </c>
      <c r="L38" s="18">
        <v>4</v>
      </c>
      <c r="M38" s="67">
        <v>3</v>
      </c>
      <c r="N38" s="18">
        <f t="shared" si="20"/>
        <v>7</v>
      </c>
      <c r="O38" s="68">
        <v>45379</v>
      </c>
      <c r="P38" s="69">
        <v>45743</v>
      </c>
      <c r="Q38" s="18" t="str">
        <f t="shared" si="4"/>
        <v>March</v>
      </c>
      <c r="R38" s="18">
        <f t="shared" si="5"/>
        <v>2024</v>
      </c>
      <c r="S38" s="18" t="s">
        <v>29</v>
      </c>
      <c r="T38" s="18" t="s">
        <v>29</v>
      </c>
      <c r="U38" s="18"/>
      <c r="V38" s="18"/>
      <c r="W38" s="79"/>
      <c r="X38" s="18">
        <f ca="1" t="shared" si="18"/>
        <v>204</v>
      </c>
      <c r="Y38" s="18"/>
      <c r="Z38" s="63">
        <f t="shared" si="8"/>
        <v>0.75</v>
      </c>
      <c r="AA38" t="str">
        <f t="shared" si="9"/>
        <v>Hares</v>
      </c>
    </row>
    <row r="39" ht="15.75" customHeight="1" spans="1:27">
      <c r="A39" s="18" t="s">
        <v>88</v>
      </c>
      <c r="B39" s="18" t="s">
        <v>27</v>
      </c>
      <c r="C39" s="60" t="s">
        <v>28</v>
      </c>
      <c r="D39" s="60" t="s">
        <v>28</v>
      </c>
      <c r="E39" s="61">
        <v>1766317</v>
      </c>
      <c r="F39" s="61">
        <f t="shared" si="15"/>
        <v>88315.85</v>
      </c>
      <c r="G39" s="61">
        <v>30000</v>
      </c>
      <c r="H39" s="61">
        <f t="shared" si="16"/>
        <v>1884632.85</v>
      </c>
      <c r="I39" s="61">
        <v>0</v>
      </c>
      <c r="J39" s="61">
        <f t="shared" si="17"/>
        <v>1884632.85</v>
      </c>
      <c r="K39" s="61">
        <f t="shared" si="3"/>
        <v>628210.95</v>
      </c>
      <c r="L39" s="18">
        <v>3</v>
      </c>
      <c r="M39" s="67">
        <v>0</v>
      </c>
      <c r="N39" s="18">
        <f t="shared" si="20"/>
        <v>3</v>
      </c>
      <c r="O39" s="68">
        <v>45394</v>
      </c>
      <c r="P39" s="69">
        <v>45758</v>
      </c>
      <c r="Q39" s="18" t="str">
        <f t="shared" si="4"/>
        <v>April</v>
      </c>
      <c r="R39" s="18">
        <f t="shared" si="5"/>
        <v>2024</v>
      </c>
      <c r="S39" s="18" t="s">
        <v>29</v>
      </c>
      <c r="T39" s="18" t="s">
        <v>29</v>
      </c>
      <c r="U39" s="18"/>
      <c r="V39" s="18"/>
      <c r="W39" s="79">
        <v>45394</v>
      </c>
      <c r="X39" s="18">
        <f ca="1" t="shared" si="18"/>
        <v>189</v>
      </c>
      <c r="Y39" s="18">
        <f t="shared" ref="Y39:Y70" si="21">O39-W39</f>
        <v>0</v>
      </c>
      <c r="Z39" s="63">
        <f t="shared" si="8"/>
        <v>0</v>
      </c>
      <c r="AA39" t="str">
        <f t="shared" si="9"/>
        <v>Hares</v>
      </c>
    </row>
    <row r="40" ht="15.75" customHeight="1" spans="1:27">
      <c r="A40" s="18" t="s">
        <v>89</v>
      </c>
      <c r="B40" s="18" t="s">
        <v>27</v>
      </c>
      <c r="C40" s="60" t="s">
        <v>28</v>
      </c>
      <c r="D40" s="60" t="s">
        <v>28</v>
      </c>
      <c r="E40" s="61">
        <v>510698</v>
      </c>
      <c r="F40" s="61">
        <f t="shared" si="15"/>
        <v>25534.9</v>
      </c>
      <c r="G40" s="61">
        <v>10000</v>
      </c>
      <c r="H40" s="61">
        <f t="shared" si="16"/>
        <v>546232.9</v>
      </c>
      <c r="I40" s="61">
        <v>0</v>
      </c>
      <c r="J40" s="61">
        <f t="shared" si="17"/>
        <v>546232.9</v>
      </c>
      <c r="K40" s="61">
        <f t="shared" si="3"/>
        <v>546232.9</v>
      </c>
      <c r="L40" s="18">
        <v>1</v>
      </c>
      <c r="M40" s="67">
        <v>0</v>
      </c>
      <c r="N40" s="18">
        <f t="shared" si="20"/>
        <v>1</v>
      </c>
      <c r="O40" s="68">
        <v>45432</v>
      </c>
      <c r="P40" s="69">
        <v>45796</v>
      </c>
      <c r="Q40" s="18" t="str">
        <f t="shared" si="4"/>
        <v>May</v>
      </c>
      <c r="R40" s="18">
        <f t="shared" si="5"/>
        <v>2024</v>
      </c>
      <c r="S40" s="18" t="s">
        <v>29</v>
      </c>
      <c r="T40" s="18" t="s">
        <v>29</v>
      </c>
      <c r="U40" s="18"/>
      <c r="V40" s="18"/>
      <c r="W40" s="79">
        <v>45430</v>
      </c>
      <c r="X40" s="18">
        <f ca="1" t="shared" si="18"/>
        <v>151</v>
      </c>
      <c r="Y40" s="18">
        <f t="shared" si="21"/>
        <v>2</v>
      </c>
      <c r="Z40" s="63">
        <f t="shared" si="8"/>
        <v>0</v>
      </c>
      <c r="AA40" t="str">
        <f t="shared" si="9"/>
        <v>Hares</v>
      </c>
    </row>
    <row r="41" ht="15.75" customHeight="1" spans="1:31">
      <c r="A41" s="18" t="s">
        <v>90</v>
      </c>
      <c r="B41" s="18" t="s">
        <v>27</v>
      </c>
      <c r="C41" s="60" t="s">
        <v>28</v>
      </c>
      <c r="D41" s="60" t="s">
        <v>28</v>
      </c>
      <c r="E41" s="61">
        <v>727401</v>
      </c>
      <c r="F41" s="61">
        <f t="shared" si="15"/>
        <v>36370.05</v>
      </c>
      <c r="G41" s="61">
        <v>10000</v>
      </c>
      <c r="H41" s="61">
        <f t="shared" si="16"/>
        <v>773771.05</v>
      </c>
      <c r="I41" s="61">
        <v>0</v>
      </c>
      <c r="J41" s="61">
        <f t="shared" si="17"/>
        <v>773771.05</v>
      </c>
      <c r="K41" s="61">
        <f t="shared" si="3"/>
        <v>773771.05</v>
      </c>
      <c r="L41" s="18">
        <v>1</v>
      </c>
      <c r="M41" s="67">
        <v>0</v>
      </c>
      <c r="N41" s="18">
        <f t="shared" si="20"/>
        <v>1</v>
      </c>
      <c r="O41" s="68">
        <v>45435</v>
      </c>
      <c r="P41" s="69">
        <v>45799</v>
      </c>
      <c r="Q41" s="18" t="str">
        <f t="shared" si="4"/>
        <v>May</v>
      </c>
      <c r="R41" s="18">
        <f t="shared" si="5"/>
        <v>2024</v>
      </c>
      <c r="S41" s="18" t="s">
        <v>29</v>
      </c>
      <c r="T41" s="18" t="s">
        <v>29</v>
      </c>
      <c r="U41" s="18"/>
      <c r="V41" s="18"/>
      <c r="W41" s="79">
        <v>45435</v>
      </c>
      <c r="X41" s="18">
        <f ca="1" t="shared" si="18"/>
        <v>148</v>
      </c>
      <c r="Y41" s="18">
        <f t="shared" si="21"/>
        <v>0</v>
      </c>
      <c r="Z41" s="63">
        <f t="shared" si="8"/>
        <v>0</v>
      </c>
      <c r="AA41" t="str">
        <f t="shared" si="9"/>
        <v>Hares</v>
      </c>
      <c r="AB41" s="16"/>
      <c r="AC41" s="16"/>
      <c r="AD41" s="16"/>
      <c r="AE41" s="16"/>
    </row>
    <row r="42" ht="15.75" customHeight="1" spans="1:27">
      <c r="A42" s="18" t="s">
        <v>91</v>
      </c>
      <c r="B42" s="18" t="s">
        <v>27</v>
      </c>
      <c r="C42" s="60" t="s">
        <v>28</v>
      </c>
      <c r="D42" s="60" t="s">
        <v>28</v>
      </c>
      <c r="E42" s="61">
        <v>11530052</v>
      </c>
      <c r="F42" s="61">
        <f t="shared" si="15"/>
        <v>576502.6</v>
      </c>
      <c r="G42" s="61">
        <v>170000</v>
      </c>
      <c r="H42" s="61">
        <f t="shared" si="16"/>
        <v>12276554.6</v>
      </c>
      <c r="I42" s="61">
        <v>0</v>
      </c>
      <c r="J42" s="61">
        <f t="shared" si="17"/>
        <v>12276554.6</v>
      </c>
      <c r="K42" s="61">
        <f t="shared" si="3"/>
        <v>876896.757142857</v>
      </c>
      <c r="L42" s="18">
        <v>14</v>
      </c>
      <c r="M42" s="67">
        <v>3</v>
      </c>
      <c r="N42" s="18">
        <f t="shared" si="20"/>
        <v>17</v>
      </c>
      <c r="O42" s="68">
        <v>45444</v>
      </c>
      <c r="P42" s="69">
        <v>45808</v>
      </c>
      <c r="Q42" s="18" t="str">
        <f t="shared" si="4"/>
        <v>June</v>
      </c>
      <c r="R42" s="18">
        <f t="shared" si="5"/>
        <v>2024</v>
      </c>
      <c r="S42" s="18" t="s">
        <v>29</v>
      </c>
      <c r="T42" s="18" t="s">
        <v>29</v>
      </c>
      <c r="U42" s="18"/>
      <c r="V42" s="18"/>
      <c r="W42" s="79">
        <v>45429</v>
      </c>
      <c r="X42" s="18">
        <f ca="1" t="shared" si="18"/>
        <v>139</v>
      </c>
      <c r="Y42" s="18">
        <f t="shared" si="21"/>
        <v>15</v>
      </c>
      <c r="Z42" s="63">
        <f t="shared" si="8"/>
        <v>0.21</v>
      </c>
      <c r="AA42" t="str">
        <f t="shared" si="9"/>
        <v>Hares</v>
      </c>
    </row>
    <row r="43" ht="15.75" customHeight="1" spans="1:27">
      <c r="A43" s="18" t="s">
        <v>92</v>
      </c>
      <c r="B43" s="18" t="s">
        <v>27</v>
      </c>
      <c r="C43" s="60" t="s">
        <v>28</v>
      </c>
      <c r="D43" s="60" t="s">
        <v>28</v>
      </c>
      <c r="E43" s="61">
        <v>1240172</v>
      </c>
      <c r="F43" s="61">
        <f t="shared" si="15"/>
        <v>62008.6</v>
      </c>
      <c r="G43" s="61">
        <v>20000</v>
      </c>
      <c r="H43" s="61">
        <f t="shared" si="16"/>
        <v>1322180.6</v>
      </c>
      <c r="I43" s="61">
        <v>0</v>
      </c>
      <c r="J43" s="61">
        <f t="shared" si="17"/>
        <v>1322180.6</v>
      </c>
      <c r="K43" s="61">
        <f t="shared" si="3"/>
        <v>661090.3</v>
      </c>
      <c r="L43" s="18">
        <v>2</v>
      </c>
      <c r="M43" s="67">
        <v>0</v>
      </c>
      <c r="N43" s="18">
        <f t="shared" si="20"/>
        <v>2</v>
      </c>
      <c r="O43" s="68">
        <v>45455</v>
      </c>
      <c r="P43" s="69">
        <v>45819</v>
      </c>
      <c r="Q43" s="18" t="str">
        <f t="shared" si="4"/>
        <v>June</v>
      </c>
      <c r="R43" s="18">
        <f t="shared" si="5"/>
        <v>2024</v>
      </c>
      <c r="S43" s="18" t="s">
        <v>29</v>
      </c>
      <c r="T43" s="18" t="s">
        <v>29</v>
      </c>
      <c r="U43" s="18"/>
      <c r="V43" s="18"/>
      <c r="W43" s="79">
        <v>45414</v>
      </c>
      <c r="X43" s="18">
        <f ca="1" t="shared" si="18"/>
        <v>128</v>
      </c>
      <c r="Y43" s="18">
        <f t="shared" si="21"/>
        <v>41</v>
      </c>
      <c r="Z43" s="63">
        <f t="shared" si="8"/>
        <v>0</v>
      </c>
      <c r="AA43" t="str">
        <f t="shared" si="9"/>
        <v>Hares</v>
      </c>
    </row>
    <row r="44" ht="15.75" customHeight="1" spans="1:27">
      <c r="A44" s="18" t="s">
        <v>93</v>
      </c>
      <c r="B44" s="18" t="s">
        <v>27</v>
      </c>
      <c r="C44" s="60" t="s">
        <v>28</v>
      </c>
      <c r="D44" s="60" t="s">
        <v>28</v>
      </c>
      <c r="E44" s="61">
        <v>2839401</v>
      </c>
      <c r="F44" s="61">
        <f t="shared" si="15"/>
        <v>141970.05</v>
      </c>
      <c r="G44" s="61">
        <v>50000</v>
      </c>
      <c r="H44" s="61">
        <f t="shared" si="16"/>
        <v>3031371.05</v>
      </c>
      <c r="I44" s="61">
        <v>0</v>
      </c>
      <c r="J44" s="61">
        <f t="shared" si="17"/>
        <v>3031371.05</v>
      </c>
      <c r="K44" s="61">
        <f t="shared" si="3"/>
        <v>3031371.05</v>
      </c>
      <c r="L44" s="18">
        <v>1</v>
      </c>
      <c r="M44" s="67">
        <v>4</v>
      </c>
      <c r="N44" s="18">
        <f t="shared" si="20"/>
        <v>5</v>
      </c>
      <c r="O44" s="68">
        <v>45455</v>
      </c>
      <c r="P44" s="69">
        <v>45835</v>
      </c>
      <c r="Q44" s="18" t="str">
        <f t="shared" si="4"/>
        <v>June</v>
      </c>
      <c r="R44" s="18">
        <f t="shared" si="5"/>
        <v>2024</v>
      </c>
      <c r="S44" s="18" t="s">
        <v>29</v>
      </c>
      <c r="T44" s="18" t="s">
        <v>29</v>
      </c>
      <c r="U44" s="18"/>
      <c r="V44" s="18"/>
      <c r="W44" s="79">
        <v>45405</v>
      </c>
      <c r="X44" s="18">
        <f ca="1" t="shared" si="18"/>
        <v>128</v>
      </c>
      <c r="Y44" s="18">
        <f t="shared" si="21"/>
        <v>50</v>
      </c>
      <c r="Z44" s="63">
        <f t="shared" si="8"/>
        <v>4</v>
      </c>
      <c r="AA44" t="str">
        <f t="shared" si="9"/>
        <v>Hares</v>
      </c>
    </row>
    <row r="45" ht="15.75" customHeight="1" spans="1:27">
      <c r="A45" s="18" t="s">
        <v>94</v>
      </c>
      <c r="B45" s="18" t="s">
        <v>27</v>
      </c>
      <c r="C45" s="60" t="s">
        <v>28</v>
      </c>
      <c r="D45" s="60" t="s">
        <v>28</v>
      </c>
      <c r="E45" s="61">
        <v>456030</v>
      </c>
      <c r="F45" s="61">
        <f t="shared" si="15"/>
        <v>22801.5</v>
      </c>
      <c r="G45" s="61">
        <v>10000</v>
      </c>
      <c r="H45" s="61">
        <f t="shared" si="16"/>
        <v>488831.5</v>
      </c>
      <c r="I45" s="61">
        <v>0</v>
      </c>
      <c r="J45" s="61">
        <f t="shared" si="17"/>
        <v>488831.5</v>
      </c>
      <c r="K45" s="61">
        <f t="shared" si="3"/>
        <v>488831.5</v>
      </c>
      <c r="L45" s="18">
        <v>1</v>
      </c>
      <c r="M45" s="67">
        <v>0</v>
      </c>
      <c r="N45" s="18">
        <f t="shared" si="20"/>
        <v>1</v>
      </c>
      <c r="O45" s="68">
        <v>45455</v>
      </c>
      <c r="P45" s="69">
        <v>45835</v>
      </c>
      <c r="Q45" s="18" t="str">
        <f t="shared" si="4"/>
        <v>June</v>
      </c>
      <c r="R45" s="18">
        <f t="shared" si="5"/>
        <v>2024</v>
      </c>
      <c r="S45" s="18" t="s">
        <v>29</v>
      </c>
      <c r="T45" s="18" t="s">
        <v>29</v>
      </c>
      <c r="U45" s="18"/>
      <c r="V45" s="18"/>
      <c r="W45" s="79">
        <v>45448</v>
      </c>
      <c r="X45" s="18">
        <f ca="1" t="shared" si="18"/>
        <v>128</v>
      </c>
      <c r="Y45" s="18">
        <f t="shared" si="21"/>
        <v>7</v>
      </c>
      <c r="Z45" s="63">
        <f t="shared" si="8"/>
        <v>0</v>
      </c>
      <c r="AA45" t="str">
        <f t="shared" si="9"/>
        <v>Hares</v>
      </c>
    </row>
    <row r="46" ht="15.75" customHeight="1" spans="1:27">
      <c r="A46" s="18" t="s">
        <v>95</v>
      </c>
      <c r="B46" s="18" t="s">
        <v>27</v>
      </c>
      <c r="C46" s="60" t="s">
        <v>28</v>
      </c>
      <c r="D46" s="60" t="s">
        <v>28</v>
      </c>
      <c r="E46" s="61">
        <v>510698</v>
      </c>
      <c r="F46" s="61">
        <f t="shared" si="15"/>
        <v>25534.9</v>
      </c>
      <c r="G46" s="61">
        <v>10000</v>
      </c>
      <c r="H46" s="61">
        <f t="shared" si="16"/>
        <v>546232.9</v>
      </c>
      <c r="I46" s="61">
        <v>0</v>
      </c>
      <c r="J46" s="61">
        <f t="shared" si="17"/>
        <v>546232.9</v>
      </c>
      <c r="K46" s="61">
        <f t="shared" si="3"/>
        <v>546232.9</v>
      </c>
      <c r="L46" s="18">
        <v>1</v>
      </c>
      <c r="M46" s="67">
        <v>0</v>
      </c>
      <c r="N46" s="18">
        <f t="shared" si="20"/>
        <v>1</v>
      </c>
      <c r="O46" s="68">
        <v>45456</v>
      </c>
      <c r="P46" s="69">
        <v>45820</v>
      </c>
      <c r="Q46" s="18" t="str">
        <f t="shared" si="4"/>
        <v>June</v>
      </c>
      <c r="R46" s="18">
        <f t="shared" si="5"/>
        <v>2024</v>
      </c>
      <c r="S46" s="18" t="s">
        <v>29</v>
      </c>
      <c r="T46" s="18" t="s">
        <v>29</v>
      </c>
      <c r="U46" s="18"/>
      <c r="V46" s="18"/>
      <c r="W46" s="79">
        <v>45455</v>
      </c>
      <c r="X46" s="18">
        <f ca="1" t="shared" si="18"/>
        <v>127</v>
      </c>
      <c r="Y46" s="18">
        <f t="shared" si="21"/>
        <v>1</v>
      </c>
      <c r="Z46" s="63">
        <f t="shared" si="8"/>
        <v>0</v>
      </c>
      <c r="AA46" t="str">
        <f t="shared" si="9"/>
        <v>Hares</v>
      </c>
    </row>
    <row r="47" ht="15.75" customHeight="1" spans="1:27">
      <c r="A47" s="18" t="s">
        <v>96</v>
      </c>
      <c r="B47" s="18" t="s">
        <v>27</v>
      </c>
      <c r="C47" s="60" t="s">
        <v>28</v>
      </c>
      <c r="D47" s="60" t="s">
        <v>28</v>
      </c>
      <c r="E47" s="61">
        <v>1499117</v>
      </c>
      <c r="F47" s="61">
        <f t="shared" si="15"/>
        <v>74955.85</v>
      </c>
      <c r="G47" s="61">
        <v>30000</v>
      </c>
      <c r="H47" s="61">
        <f t="shared" si="16"/>
        <v>1604072.85</v>
      </c>
      <c r="I47" s="61">
        <v>0</v>
      </c>
      <c r="J47" s="61">
        <f t="shared" si="17"/>
        <v>1604072.85</v>
      </c>
      <c r="K47" s="61">
        <f t="shared" si="3"/>
        <v>1604072.85</v>
      </c>
      <c r="L47" s="18">
        <v>1</v>
      </c>
      <c r="M47" s="67">
        <v>2</v>
      </c>
      <c r="N47" s="18">
        <f t="shared" si="20"/>
        <v>3</v>
      </c>
      <c r="O47" s="68">
        <v>45456</v>
      </c>
      <c r="P47" s="69">
        <v>45820</v>
      </c>
      <c r="Q47" s="18" t="str">
        <f t="shared" si="4"/>
        <v>June</v>
      </c>
      <c r="R47" s="18">
        <f t="shared" si="5"/>
        <v>2024</v>
      </c>
      <c r="S47" s="18" t="s">
        <v>29</v>
      </c>
      <c r="T47" s="18" t="s">
        <v>29</v>
      </c>
      <c r="U47" s="18"/>
      <c r="V47" s="18"/>
      <c r="W47" s="79">
        <v>45453</v>
      </c>
      <c r="X47" s="18">
        <f ca="1" t="shared" si="18"/>
        <v>127</v>
      </c>
      <c r="Y47" s="18">
        <f t="shared" si="21"/>
        <v>3</v>
      </c>
      <c r="Z47" s="63">
        <f t="shared" si="8"/>
        <v>2</v>
      </c>
      <c r="AA47" t="str">
        <f t="shared" si="9"/>
        <v>Hares</v>
      </c>
    </row>
    <row r="48" ht="15.75" customHeight="1" spans="1:27">
      <c r="A48" s="18" t="s">
        <v>97</v>
      </c>
      <c r="B48" s="18" t="s">
        <v>27</v>
      </c>
      <c r="C48" s="60" t="s">
        <v>28</v>
      </c>
      <c r="D48" s="60" t="s">
        <v>28</v>
      </c>
      <c r="E48" s="61">
        <v>157313</v>
      </c>
      <c r="F48" s="61">
        <f t="shared" si="15"/>
        <v>7865.65</v>
      </c>
      <c r="G48" s="61">
        <v>0</v>
      </c>
      <c r="H48" s="61">
        <f t="shared" si="16"/>
        <v>165178.65</v>
      </c>
      <c r="I48" s="61">
        <v>0</v>
      </c>
      <c r="J48" s="61">
        <f t="shared" si="17"/>
        <v>165178.65</v>
      </c>
      <c r="K48" s="61">
        <f t="shared" si="3"/>
        <v>165178.65</v>
      </c>
      <c r="L48" s="18">
        <v>1</v>
      </c>
      <c r="M48" s="67">
        <v>0</v>
      </c>
      <c r="N48" s="18">
        <f t="shared" si="20"/>
        <v>1</v>
      </c>
      <c r="O48" s="68">
        <v>45461</v>
      </c>
      <c r="P48" s="69">
        <v>45825</v>
      </c>
      <c r="Q48" s="18" t="str">
        <f t="shared" si="4"/>
        <v>June</v>
      </c>
      <c r="R48" s="18">
        <f t="shared" si="5"/>
        <v>2024</v>
      </c>
      <c r="S48" s="18" t="s">
        <v>29</v>
      </c>
      <c r="T48" s="18" t="s">
        <v>29</v>
      </c>
      <c r="U48" s="18"/>
      <c r="V48" s="18"/>
      <c r="W48" s="79">
        <v>45455</v>
      </c>
      <c r="X48" s="18">
        <f ca="1" t="shared" si="18"/>
        <v>122</v>
      </c>
      <c r="Y48" s="18">
        <f t="shared" si="21"/>
        <v>6</v>
      </c>
      <c r="Z48" s="63">
        <f t="shared" si="8"/>
        <v>0</v>
      </c>
      <c r="AA48" t="str">
        <f t="shared" si="9"/>
        <v>Hares</v>
      </c>
    </row>
    <row r="49" ht="15.75" customHeight="1" spans="1:27">
      <c r="A49" s="18" t="s">
        <v>98</v>
      </c>
      <c r="B49" s="18" t="s">
        <v>27</v>
      </c>
      <c r="C49" s="60" t="s">
        <v>28</v>
      </c>
      <c r="D49" s="60" t="s">
        <v>28</v>
      </c>
      <c r="E49" s="61">
        <v>1321000</v>
      </c>
      <c r="F49" s="61">
        <f t="shared" si="15"/>
        <v>66050</v>
      </c>
      <c r="G49" s="61">
        <v>30000</v>
      </c>
      <c r="H49" s="61">
        <f t="shared" si="16"/>
        <v>1417050</v>
      </c>
      <c r="I49" s="61">
        <v>0</v>
      </c>
      <c r="J49" s="61">
        <f t="shared" si="17"/>
        <v>1417050</v>
      </c>
      <c r="K49" s="61">
        <f t="shared" si="3"/>
        <v>1417050</v>
      </c>
      <c r="L49" s="18">
        <v>1</v>
      </c>
      <c r="M49" s="67">
        <v>2</v>
      </c>
      <c r="N49" s="18">
        <f t="shared" si="20"/>
        <v>3</v>
      </c>
      <c r="O49" s="68">
        <v>45462</v>
      </c>
      <c r="P49" s="69">
        <v>45826</v>
      </c>
      <c r="Q49" s="18" t="str">
        <f t="shared" si="4"/>
        <v>June</v>
      </c>
      <c r="R49" s="18">
        <f t="shared" si="5"/>
        <v>2024</v>
      </c>
      <c r="S49" s="18" t="s">
        <v>29</v>
      </c>
      <c r="T49" s="18" t="s">
        <v>29</v>
      </c>
      <c r="U49" s="18"/>
      <c r="V49" s="18"/>
      <c r="W49" s="79">
        <v>45457</v>
      </c>
      <c r="X49" s="18">
        <f ca="1" t="shared" si="18"/>
        <v>121</v>
      </c>
      <c r="Y49" s="18">
        <f t="shared" si="21"/>
        <v>5</v>
      </c>
      <c r="Z49" s="63">
        <f t="shared" si="8"/>
        <v>2</v>
      </c>
      <c r="AA49" t="str">
        <f t="shared" si="9"/>
        <v>Hares</v>
      </c>
    </row>
    <row r="50" ht="15.75" customHeight="1" spans="1:27">
      <c r="A50" s="62" t="s">
        <v>99</v>
      </c>
      <c r="B50" s="62" t="s">
        <v>27</v>
      </c>
      <c r="C50" s="60" t="s">
        <v>28</v>
      </c>
      <c r="D50" s="60" t="s">
        <v>28</v>
      </c>
      <c r="E50" s="64">
        <v>1381142</v>
      </c>
      <c r="F50" s="61">
        <f t="shared" si="15"/>
        <v>69057.1</v>
      </c>
      <c r="G50" s="64">
        <v>30000</v>
      </c>
      <c r="H50" s="61">
        <f t="shared" si="16"/>
        <v>1480199.1</v>
      </c>
      <c r="I50" s="64" t="s">
        <v>100</v>
      </c>
      <c r="J50" s="61">
        <f t="shared" si="17"/>
        <v>1480199.1</v>
      </c>
      <c r="K50" s="61">
        <f t="shared" si="3"/>
        <v>1480199.1</v>
      </c>
      <c r="L50" s="76">
        <v>1</v>
      </c>
      <c r="M50" s="77">
        <v>2</v>
      </c>
      <c r="N50" s="76">
        <v>3</v>
      </c>
      <c r="O50" s="70">
        <v>45468</v>
      </c>
      <c r="P50" s="71">
        <v>45832</v>
      </c>
      <c r="Q50" s="18" t="str">
        <f t="shared" si="4"/>
        <v>June</v>
      </c>
      <c r="R50" s="18">
        <f t="shared" si="5"/>
        <v>2024</v>
      </c>
      <c r="S50" s="62" t="s">
        <v>29</v>
      </c>
      <c r="T50" s="62" t="s">
        <v>29</v>
      </c>
      <c r="U50" s="62"/>
      <c r="V50" s="62"/>
      <c r="W50" s="80">
        <v>45467</v>
      </c>
      <c r="X50" s="18">
        <f ca="1" t="shared" si="18"/>
        <v>115</v>
      </c>
      <c r="Y50" s="18">
        <f t="shared" si="21"/>
        <v>1</v>
      </c>
      <c r="Z50" s="63">
        <f t="shared" si="8"/>
        <v>2</v>
      </c>
      <c r="AA50" t="str">
        <f t="shared" si="9"/>
        <v>Hares</v>
      </c>
    </row>
    <row r="51" ht="15.75" customHeight="1" spans="1:27">
      <c r="A51" s="18" t="s">
        <v>101</v>
      </c>
      <c r="B51" s="62" t="s">
        <v>27</v>
      </c>
      <c r="C51" s="60" t="s">
        <v>28</v>
      </c>
      <c r="D51" s="60" t="s">
        <v>28</v>
      </c>
      <c r="E51" s="61">
        <v>6179754</v>
      </c>
      <c r="F51" s="61">
        <f t="shared" si="15"/>
        <v>308987.7</v>
      </c>
      <c r="G51" s="61">
        <v>210000</v>
      </c>
      <c r="H51" s="61">
        <f t="shared" si="16"/>
        <v>6698741.7</v>
      </c>
      <c r="I51" s="61">
        <v>0</v>
      </c>
      <c r="J51" s="61">
        <f t="shared" si="17"/>
        <v>6698741.7</v>
      </c>
      <c r="K51" s="61">
        <f t="shared" si="3"/>
        <v>318987.7</v>
      </c>
      <c r="L51" s="18">
        <v>21</v>
      </c>
      <c r="M51" s="67">
        <v>0</v>
      </c>
      <c r="N51" s="18">
        <v>21</v>
      </c>
      <c r="O51" s="70">
        <v>45475</v>
      </c>
      <c r="P51" s="71">
        <v>45839</v>
      </c>
      <c r="Q51" s="18" t="str">
        <f t="shared" si="4"/>
        <v>July</v>
      </c>
      <c r="R51" s="18">
        <f t="shared" si="5"/>
        <v>2024</v>
      </c>
      <c r="S51" s="18" t="s">
        <v>29</v>
      </c>
      <c r="T51" s="18" t="s">
        <v>29</v>
      </c>
      <c r="U51" s="18"/>
      <c r="V51" s="18"/>
      <c r="W51" s="80">
        <v>45443</v>
      </c>
      <c r="X51" s="18">
        <f ca="1" t="shared" si="18"/>
        <v>108</v>
      </c>
      <c r="Y51" s="18">
        <f t="shared" si="21"/>
        <v>32</v>
      </c>
      <c r="Z51" s="63">
        <f t="shared" si="8"/>
        <v>0</v>
      </c>
      <c r="AA51" t="str">
        <f t="shared" si="9"/>
        <v>Hares</v>
      </c>
    </row>
    <row r="52" ht="15.75" customHeight="1" spans="1:27">
      <c r="A52" s="18" t="s">
        <v>102</v>
      </c>
      <c r="B52" s="62" t="s">
        <v>27</v>
      </c>
      <c r="C52" s="60" t="s">
        <v>28</v>
      </c>
      <c r="D52" s="60" t="s">
        <v>28</v>
      </c>
      <c r="E52" s="61">
        <v>1595848</v>
      </c>
      <c r="F52" s="61">
        <f t="shared" si="15"/>
        <v>79792.4</v>
      </c>
      <c r="G52" s="61">
        <v>40000</v>
      </c>
      <c r="H52" s="61">
        <f t="shared" si="16"/>
        <v>1715640.4</v>
      </c>
      <c r="I52" s="61">
        <v>0</v>
      </c>
      <c r="J52" s="61">
        <f t="shared" si="17"/>
        <v>1715640.4</v>
      </c>
      <c r="K52" s="61">
        <f t="shared" si="3"/>
        <v>428910.1</v>
      </c>
      <c r="L52" s="18">
        <v>4</v>
      </c>
      <c r="M52" s="67">
        <v>3</v>
      </c>
      <c r="N52" s="18">
        <v>4</v>
      </c>
      <c r="O52" s="70">
        <v>45483</v>
      </c>
      <c r="P52" s="71">
        <v>45847</v>
      </c>
      <c r="Q52" s="18" t="str">
        <f t="shared" si="4"/>
        <v>July</v>
      </c>
      <c r="R52" s="18">
        <f t="shared" si="5"/>
        <v>2024</v>
      </c>
      <c r="S52" s="18" t="s">
        <v>29</v>
      </c>
      <c r="T52" s="18" t="s">
        <v>29</v>
      </c>
      <c r="U52" s="18"/>
      <c r="V52" s="18"/>
      <c r="W52" s="80">
        <v>45462</v>
      </c>
      <c r="X52" s="18">
        <f ca="1" t="shared" si="18"/>
        <v>100</v>
      </c>
      <c r="Y52" s="18">
        <f t="shared" si="21"/>
        <v>21</v>
      </c>
      <c r="Z52" s="63">
        <f t="shared" si="8"/>
        <v>0.75</v>
      </c>
      <c r="AA52" t="str">
        <f t="shared" si="9"/>
        <v>Hares</v>
      </c>
    </row>
    <row r="53" ht="15.75" customHeight="1" spans="1:27">
      <c r="A53" s="18" t="s">
        <v>103</v>
      </c>
      <c r="B53" s="62" t="s">
        <v>27</v>
      </c>
      <c r="C53" s="60" t="s">
        <v>28</v>
      </c>
      <c r="D53" s="60" t="s">
        <v>28</v>
      </c>
      <c r="E53" s="61">
        <v>1791035</v>
      </c>
      <c r="F53" s="61">
        <f t="shared" si="15"/>
        <v>89551.75</v>
      </c>
      <c r="G53" s="61">
        <v>30000</v>
      </c>
      <c r="H53" s="61">
        <f t="shared" si="16"/>
        <v>1910586.75</v>
      </c>
      <c r="I53" s="61">
        <v>0</v>
      </c>
      <c r="J53" s="61">
        <f t="shared" si="17"/>
        <v>1910586.75</v>
      </c>
      <c r="K53" s="61">
        <f t="shared" si="3"/>
        <v>1910586.75</v>
      </c>
      <c r="L53" s="18">
        <v>1</v>
      </c>
      <c r="M53" s="67">
        <v>2</v>
      </c>
      <c r="N53" s="18">
        <v>3</v>
      </c>
      <c r="O53" s="70">
        <v>45495</v>
      </c>
      <c r="P53" s="71">
        <v>45859</v>
      </c>
      <c r="Q53" s="18" t="str">
        <f t="shared" si="4"/>
        <v>July</v>
      </c>
      <c r="R53" s="18">
        <f t="shared" si="5"/>
        <v>2024</v>
      </c>
      <c r="S53" s="18" t="s">
        <v>29</v>
      </c>
      <c r="T53" s="18" t="s">
        <v>29</v>
      </c>
      <c r="U53" s="18"/>
      <c r="V53" s="18"/>
      <c r="W53" s="80">
        <v>45492</v>
      </c>
      <c r="X53" s="18">
        <f ca="1" t="shared" si="18"/>
        <v>88</v>
      </c>
      <c r="Y53" s="18">
        <f t="shared" si="21"/>
        <v>3</v>
      </c>
      <c r="Z53" s="63">
        <f t="shared" si="8"/>
        <v>2</v>
      </c>
      <c r="AA53" t="str">
        <f t="shared" si="9"/>
        <v>Hares</v>
      </c>
    </row>
    <row r="54" ht="15.75" customHeight="1" spans="1:27">
      <c r="A54" s="18" t="s">
        <v>104</v>
      </c>
      <c r="B54" s="62" t="s">
        <v>27</v>
      </c>
      <c r="C54" s="60" t="s">
        <v>28</v>
      </c>
      <c r="D54" s="60" t="s">
        <v>28</v>
      </c>
      <c r="E54" s="61">
        <v>908890</v>
      </c>
      <c r="F54" s="61">
        <f t="shared" si="15"/>
        <v>45444.5</v>
      </c>
      <c r="G54" s="61">
        <v>10000</v>
      </c>
      <c r="H54" s="61">
        <f t="shared" si="16"/>
        <v>964334.5</v>
      </c>
      <c r="I54" s="61">
        <v>0</v>
      </c>
      <c r="J54" s="61">
        <f t="shared" si="17"/>
        <v>964334.5</v>
      </c>
      <c r="K54" s="61">
        <f t="shared" si="3"/>
        <v>964334.5</v>
      </c>
      <c r="L54" s="18">
        <v>1</v>
      </c>
      <c r="M54" s="67">
        <v>0</v>
      </c>
      <c r="N54" s="18">
        <v>1</v>
      </c>
      <c r="O54" s="70">
        <v>45495</v>
      </c>
      <c r="P54" s="71">
        <v>45859</v>
      </c>
      <c r="Q54" s="18" t="str">
        <f t="shared" si="4"/>
        <v>July</v>
      </c>
      <c r="R54" s="18">
        <f t="shared" si="5"/>
        <v>2024</v>
      </c>
      <c r="S54" s="18" t="s">
        <v>29</v>
      </c>
      <c r="T54" s="18" t="s">
        <v>29</v>
      </c>
      <c r="U54" s="18"/>
      <c r="V54" s="18"/>
      <c r="W54" s="80">
        <v>45495</v>
      </c>
      <c r="X54" s="18">
        <f ca="1" t="shared" si="18"/>
        <v>88</v>
      </c>
      <c r="Y54" s="18">
        <f t="shared" si="21"/>
        <v>0</v>
      </c>
      <c r="Z54" s="63">
        <f t="shared" si="8"/>
        <v>0</v>
      </c>
      <c r="AA54" t="str">
        <f t="shared" si="9"/>
        <v>Hares</v>
      </c>
    </row>
    <row r="55" ht="15.75" customHeight="1" spans="1:27">
      <c r="A55" s="18" t="s">
        <v>105</v>
      </c>
      <c r="B55" s="62" t="s">
        <v>27</v>
      </c>
      <c r="C55" s="60" t="s">
        <v>28</v>
      </c>
      <c r="D55" s="60" t="s">
        <v>28</v>
      </c>
      <c r="E55" s="61">
        <v>443102</v>
      </c>
      <c r="F55" s="61">
        <f t="shared" si="15"/>
        <v>22155.1</v>
      </c>
      <c r="G55" s="61">
        <v>10000</v>
      </c>
      <c r="H55" s="61">
        <f t="shared" si="16"/>
        <v>475257.1</v>
      </c>
      <c r="I55" s="61">
        <v>0</v>
      </c>
      <c r="J55" s="61">
        <f t="shared" si="17"/>
        <v>475257.1</v>
      </c>
      <c r="K55" s="61">
        <f t="shared" si="3"/>
        <v>475257.1</v>
      </c>
      <c r="L55" s="18">
        <v>1</v>
      </c>
      <c r="M55" s="67">
        <v>0</v>
      </c>
      <c r="N55" s="18">
        <v>1</v>
      </c>
      <c r="O55" s="70">
        <v>45496</v>
      </c>
      <c r="P55" s="71">
        <v>45860</v>
      </c>
      <c r="Q55" s="18" t="str">
        <f t="shared" si="4"/>
        <v>July</v>
      </c>
      <c r="R55" s="18">
        <f t="shared" si="5"/>
        <v>2024</v>
      </c>
      <c r="S55" s="18" t="s">
        <v>29</v>
      </c>
      <c r="T55" s="18" t="s">
        <v>29</v>
      </c>
      <c r="U55" s="18"/>
      <c r="V55" s="18"/>
      <c r="W55" s="80">
        <v>45459</v>
      </c>
      <c r="X55" s="18">
        <f ca="1" t="shared" si="18"/>
        <v>87</v>
      </c>
      <c r="Y55" s="18">
        <f t="shared" si="21"/>
        <v>37</v>
      </c>
      <c r="Z55" s="63">
        <f t="shared" si="8"/>
        <v>0</v>
      </c>
      <c r="AA55" t="str">
        <f t="shared" si="9"/>
        <v>Hares</v>
      </c>
    </row>
    <row r="56" ht="15.75" customHeight="1" spans="1:27">
      <c r="A56" s="18" t="s">
        <v>106</v>
      </c>
      <c r="B56" s="62" t="s">
        <v>27</v>
      </c>
      <c r="C56" s="60" t="s">
        <v>28</v>
      </c>
      <c r="D56" s="60" t="s">
        <v>28</v>
      </c>
      <c r="E56" s="61">
        <v>1293912</v>
      </c>
      <c r="F56" s="61">
        <f t="shared" si="15"/>
        <v>64695.6</v>
      </c>
      <c r="G56" s="61">
        <v>20000</v>
      </c>
      <c r="H56" s="61">
        <f t="shared" si="16"/>
        <v>1378607.6</v>
      </c>
      <c r="I56" s="61">
        <v>0</v>
      </c>
      <c r="J56" s="61">
        <f t="shared" si="17"/>
        <v>1378607.6</v>
      </c>
      <c r="K56" s="61">
        <f t="shared" si="3"/>
        <v>1378607.6</v>
      </c>
      <c r="L56" s="18">
        <v>1</v>
      </c>
      <c r="M56" s="67">
        <v>1</v>
      </c>
      <c r="N56" s="18">
        <v>2</v>
      </c>
      <c r="O56" s="70">
        <v>45497</v>
      </c>
      <c r="P56" s="71">
        <v>45861</v>
      </c>
      <c r="Q56" s="18" t="str">
        <f t="shared" si="4"/>
        <v>July</v>
      </c>
      <c r="R56" s="18">
        <f t="shared" si="5"/>
        <v>2024</v>
      </c>
      <c r="S56" s="18" t="s">
        <v>29</v>
      </c>
      <c r="T56" s="18" t="s">
        <v>29</v>
      </c>
      <c r="U56" s="18"/>
      <c r="V56" s="18"/>
      <c r="W56" s="80">
        <v>45495</v>
      </c>
      <c r="X56" s="18">
        <f ca="1" t="shared" si="18"/>
        <v>86</v>
      </c>
      <c r="Y56" s="18">
        <f t="shared" si="21"/>
        <v>2</v>
      </c>
      <c r="Z56" s="63">
        <f t="shared" si="8"/>
        <v>1</v>
      </c>
      <c r="AA56" t="str">
        <f t="shared" si="9"/>
        <v>Hares</v>
      </c>
    </row>
    <row r="57" ht="15.75" customHeight="1" spans="1:27">
      <c r="A57" s="18" t="s">
        <v>107</v>
      </c>
      <c r="B57" s="62" t="s">
        <v>27</v>
      </c>
      <c r="C57" s="60" t="s">
        <v>28</v>
      </c>
      <c r="D57" s="60" t="s">
        <v>28</v>
      </c>
      <c r="E57" s="61">
        <v>2387323</v>
      </c>
      <c r="F57" s="61">
        <f t="shared" si="15"/>
        <v>119366.15</v>
      </c>
      <c r="G57" s="61">
        <v>20000</v>
      </c>
      <c r="H57" s="61">
        <f t="shared" si="16"/>
        <v>2526689.15</v>
      </c>
      <c r="I57" s="61"/>
      <c r="J57" s="61">
        <f t="shared" si="17"/>
        <v>2526689.15</v>
      </c>
      <c r="K57" s="61">
        <f t="shared" si="3"/>
        <v>2526689.15</v>
      </c>
      <c r="L57" s="18">
        <v>1</v>
      </c>
      <c r="M57" s="67">
        <v>1</v>
      </c>
      <c r="N57" s="18">
        <v>2</v>
      </c>
      <c r="O57" s="70">
        <v>45516</v>
      </c>
      <c r="P57" s="71">
        <v>45880</v>
      </c>
      <c r="Q57" s="18" t="str">
        <f t="shared" si="4"/>
        <v>August</v>
      </c>
      <c r="R57" s="18">
        <f t="shared" si="5"/>
        <v>2024</v>
      </c>
      <c r="S57" s="18" t="s">
        <v>29</v>
      </c>
      <c r="T57" s="18" t="s">
        <v>29</v>
      </c>
      <c r="U57" s="18"/>
      <c r="V57" s="18"/>
      <c r="W57" s="80">
        <v>45510</v>
      </c>
      <c r="X57" s="18">
        <f ca="1" t="shared" si="18"/>
        <v>67</v>
      </c>
      <c r="Y57" s="18">
        <f t="shared" si="21"/>
        <v>6</v>
      </c>
      <c r="Z57" s="63">
        <f t="shared" si="8"/>
        <v>1</v>
      </c>
      <c r="AA57" t="str">
        <f t="shared" si="9"/>
        <v>Hares</v>
      </c>
    </row>
    <row r="58" ht="15.75" customHeight="1" spans="1:27">
      <c r="A58" s="18" t="s">
        <v>108</v>
      </c>
      <c r="B58" s="62" t="s">
        <v>27</v>
      </c>
      <c r="C58" s="60" t="s">
        <v>28</v>
      </c>
      <c r="D58" s="60" t="s">
        <v>28</v>
      </c>
      <c r="E58" s="61">
        <v>562108</v>
      </c>
      <c r="F58" s="61">
        <f t="shared" si="15"/>
        <v>28105.4</v>
      </c>
      <c r="G58" s="61">
        <v>10000</v>
      </c>
      <c r="H58" s="61">
        <f t="shared" si="16"/>
        <v>600213.4</v>
      </c>
      <c r="I58" s="61"/>
      <c r="J58" s="61">
        <f t="shared" si="17"/>
        <v>600213.4</v>
      </c>
      <c r="K58" s="61">
        <f t="shared" si="3"/>
        <v>600213.4</v>
      </c>
      <c r="L58" s="18">
        <v>1</v>
      </c>
      <c r="M58" s="67">
        <v>0</v>
      </c>
      <c r="N58" s="18">
        <v>1</v>
      </c>
      <c r="O58" s="70">
        <v>45516</v>
      </c>
      <c r="P58" s="71">
        <v>45880</v>
      </c>
      <c r="Q58" s="18" t="str">
        <f t="shared" si="4"/>
        <v>August</v>
      </c>
      <c r="R58" s="18">
        <f t="shared" si="5"/>
        <v>2024</v>
      </c>
      <c r="S58" s="18" t="s">
        <v>29</v>
      </c>
      <c r="T58" s="18" t="s">
        <v>29</v>
      </c>
      <c r="U58" s="18"/>
      <c r="V58" s="18"/>
      <c r="W58" s="80">
        <v>45512</v>
      </c>
      <c r="X58" s="18">
        <f ca="1" t="shared" si="18"/>
        <v>67</v>
      </c>
      <c r="Y58" s="18">
        <f t="shared" si="21"/>
        <v>4</v>
      </c>
      <c r="Z58" s="63">
        <f t="shared" si="8"/>
        <v>0</v>
      </c>
      <c r="AA58" t="str">
        <f t="shared" si="9"/>
        <v>Hares</v>
      </c>
    </row>
    <row r="59" ht="15.75" customHeight="1" spans="1:27">
      <c r="A59" s="18" t="s">
        <v>109</v>
      </c>
      <c r="B59" s="18" t="s">
        <v>27</v>
      </c>
      <c r="C59" s="60" t="s">
        <v>28</v>
      </c>
      <c r="D59" s="60" t="s">
        <v>28</v>
      </c>
      <c r="E59" s="61">
        <v>1277471</v>
      </c>
      <c r="F59" s="61">
        <f t="shared" si="15"/>
        <v>63873.55</v>
      </c>
      <c r="G59" s="61">
        <v>30000</v>
      </c>
      <c r="H59" s="61">
        <f t="shared" si="16"/>
        <v>1371344.55</v>
      </c>
      <c r="I59" s="61">
        <v>0</v>
      </c>
      <c r="J59" s="61">
        <f t="shared" si="17"/>
        <v>1371344.55</v>
      </c>
      <c r="K59" s="61">
        <f t="shared" si="3"/>
        <v>1371344.55</v>
      </c>
      <c r="L59" s="18">
        <v>1</v>
      </c>
      <c r="M59" s="67">
        <v>2</v>
      </c>
      <c r="N59" s="18">
        <f>SUM(L59:M59)</f>
        <v>3</v>
      </c>
      <c r="O59" s="68">
        <v>45441</v>
      </c>
      <c r="P59" s="69">
        <v>45807</v>
      </c>
      <c r="Q59" s="18" t="str">
        <f t="shared" si="4"/>
        <v>May</v>
      </c>
      <c r="R59" s="18">
        <f t="shared" si="5"/>
        <v>2024</v>
      </c>
      <c r="S59" s="18" t="s">
        <v>29</v>
      </c>
      <c r="T59" s="18" t="s">
        <v>110</v>
      </c>
      <c r="U59" s="18" t="s">
        <v>31</v>
      </c>
      <c r="V59" s="53" t="s">
        <v>52</v>
      </c>
      <c r="W59" s="79">
        <v>45421</v>
      </c>
      <c r="X59" s="18">
        <f ca="1" t="shared" si="18"/>
        <v>142</v>
      </c>
      <c r="Y59" s="18">
        <f t="shared" si="21"/>
        <v>20</v>
      </c>
      <c r="Z59" s="63">
        <f t="shared" si="8"/>
        <v>2</v>
      </c>
      <c r="AA59" t="str">
        <f t="shared" si="9"/>
        <v>Hares</v>
      </c>
    </row>
    <row r="60" ht="15.75" customHeight="1" spans="1:27">
      <c r="A60" s="18" t="s">
        <v>111</v>
      </c>
      <c r="B60" s="62" t="s">
        <v>27</v>
      </c>
      <c r="C60" s="60" t="s">
        <v>28</v>
      </c>
      <c r="D60" s="60" t="s">
        <v>28</v>
      </c>
      <c r="E60" s="61">
        <v>2999400</v>
      </c>
      <c r="F60" s="61">
        <f t="shared" si="15"/>
        <v>149970</v>
      </c>
      <c r="G60" s="61">
        <v>40000</v>
      </c>
      <c r="H60" s="61">
        <f t="shared" si="16"/>
        <v>3189370</v>
      </c>
      <c r="I60" s="61">
        <v>0</v>
      </c>
      <c r="J60" s="61">
        <f t="shared" si="17"/>
        <v>3189370</v>
      </c>
      <c r="K60" s="61">
        <f t="shared" si="3"/>
        <v>1594685</v>
      </c>
      <c r="L60" s="18">
        <v>2</v>
      </c>
      <c r="M60" s="67">
        <v>2</v>
      </c>
      <c r="N60" s="18">
        <v>4</v>
      </c>
      <c r="O60" s="70">
        <v>45467</v>
      </c>
      <c r="P60" s="71">
        <v>45831</v>
      </c>
      <c r="Q60" s="18" t="str">
        <f t="shared" si="4"/>
        <v>June</v>
      </c>
      <c r="R60" s="18">
        <f t="shared" si="5"/>
        <v>2024</v>
      </c>
      <c r="S60" s="18" t="s">
        <v>29</v>
      </c>
      <c r="T60" s="18" t="s">
        <v>110</v>
      </c>
      <c r="U60" s="18" t="s">
        <v>31</v>
      </c>
      <c r="V60" s="53" t="s">
        <v>52</v>
      </c>
      <c r="W60" s="80">
        <v>45456</v>
      </c>
      <c r="X60" s="18">
        <f ca="1" t="shared" si="18"/>
        <v>116</v>
      </c>
      <c r="Y60" s="18">
        <f t="shared" si="21"/>
        <v>11</v>
      </c>
      <c r="Z60" s="63">
        <f t="shared" si="8"/>
        <v>1</v>
      </c>
      <c r="AA60" t="str">
        <f t="shared" si="9"/>
        <v>Hares</v>
      </c>
    </row>
    <row r="61" ht="15.75" customHeight="1" spans="1:27">
      <c r="A61" s="18" t="s">
        <v>112</v>
      </c>
      <c r="B61" s="62" t="s">
        <v>27</v>
      </c>
      <c r="C61" s="60" t="s">
        <v>28</v>
      </c>
      <c r="D61" s="60" t="s">
        <v>28</v>
      </c>
      <c r="E61" s="61">
        <v>6468621</v>
      </c>
      <c r="F61" s="61">
        <f t="shared" si="15"/>
        <v>323431.05</v>
      </c>
      <c r="G61" s="61">
        <v>190000</v>
      </c>
      <c r="H61" s="61">
        <f t="shared" si="16"/>
        <v>6982052.05</v>
      </c>
      <c r="I61" s="61"/>
      <c r="J61" s="61">
        <f t="shared" si="17"/>
        <v>6982052.05</v>
      </c>
      <c r="K61" s="61">
        <f t="shared" si="3"/>
        <v>872756.50625</v>
      </c>
      <c r="L61" s="18">
        <v>8</v>
      </c>
      <c r="M61" s="67">
        <v>11</v>
      </c>
      <c r="N61" s="18">
        <v>19</v>
      </c>
      <c r="O61" s="70">
        <v>45521</v>
      </c>
      <c r="P61" s="71">
        <v>45885</v>
      </c>
      <c r="Q61" s="18" t="str">
        <f t="shared" si="4"/>
        <v>August</v>
      </c>
      <c r="R61" s="18">
        <f t="shared" si="5"/>
        <v>2024</v>
      </c>
      <c r="S61" s="18" t="s">
        <v>29</v>
      </c>
      <c r="T61" s="18" t="s">
        <v>110</v>
      </c>
      <c r="U61" s="18" t="s">
        <v>31</v>
      </c>
      <c r="V61" s="53" t="s">
        <v>52</v>
      </c>
      <c r="W61" s="80">
        <v>45411</v>
      </c>
      <c r="X61" s="18">
        <f ca="1" t="shared" si="18"/>
        <v>62</v>
      </c>
      <c r="Y61" s="18">
        <f t="shared" si="21"/>
        <v>110</v>
      </c>
      <c r="Z61" s="63">
        <f t="shared" si="8"/>
        <v>1.38</v>
      </c>
      <c r="AA61" t="str">
        <f t="shared" si="9"/>
        <v>Hares</v>
      </c>
    </row>
    <row r="62" ht="15.75" customHeight="1" spans="1:27">
      <c r="A62" s="18" t="s">
        <v>113</v>
      </c>
      <c r="B62" s="18" t="s">
        <v>27</v>
      </c>
      <c r="C62" s="60" t="s">
        <v>28</v>
      </c>
      <c r="D62" s="60" t="s">
        <v>28</v>
      </c>
      <c r="E62" s="61">
        <v>582697</v>
      </c>
      <c r="F62" s="61">
        <f t="shared" si="15"/>
        <v>29134.85</v>
      </c>
      <c r="G62" s="61">
        <v>10000</v>
      </c>
      <c r="H62" s="61">
        <f t="shared" si="16"/>
        <v>621831.85</v>
      </c>
      <c r="I62" s="61">
        <v>0</v>
      </c>
      <c r="J62" s="61">
        <f t="shared" si="17"/>
        <v>621831.85</v>
      </c>
      <c r="K62" s="61">
        <f t="shared" si="3"/>
        <v>621831.85</v>
      </c>
      <c r="L62" s="18">
        <v>1</v>
      </c>
      <c r="M62" s="67">
        <v>0</v>
      </c>
      <c r="N62" s="18">
        <f t="shared" ref="N62:N67" si="22">SUM(L62:M62)</f>
        <v>1</v>
      </c>
      <c r="O62" s="68">
        <v>45327</v>
      </c>
      <c r="P62" s="69">
        <v>45692</v>
      </c>
      <c r="Q62" s="18" t="str">
        <f t="shared" si="4"/>
        <v>February</v>
      </c>
      <c r="R62" s="18">
        <f t="shared" si="5"/>
        <v>2024</v>
      </c>
      <c r="S62" s="18" t="s">
        <v>29</v>
      </c>
      <c r="T62" s="18" t="s">
        <v>114</v>
      </c>
      <c r="U62" s="18" t="s">
        <v>31</v>
      </c>
      <c r="V62" s="53" t="s">
        <v>115</v>
      </c>
      <c r="W62" s="79">
        <v>45296</v>
      </c>
      <c r="X62" s="18">
        <f ca="1" t="shared" si="18"/>
        <v>256</v>
      </c>
      <c r="Y62" s="18">
        <f t="shared" si="21"/>
        <v>31</v>
      </c>
      <c r="Z62" s="63">
        <f t="shared" si="8"/>
        <v>0</v>
      </c>
      <c r="AA62" t="str">
        <f t="shared" si="9"/>
        <v>Hares</v>
      </c>
    </row>
    <row r="63" ht="15.75" customHeight="1" spans="1:27">
      <c r="A63" s="18" t="s">
        <v>116</v>
      </c>
      <c r="B63" s="18" t="s">
        <v>87</v>
      </c>
      <c r="C63" s="60" t="s">
        <v>28</v>
      </c>
      <c r="D63" s="53" t="s">
        <v>65</v>
      </c>
      <c r="E63" s="61">
        <v>25054849</v>
      </c>
      <c r="F63" s="61">
        <f t="shared" si="15"/>
        <v>1252742.45</v>
      </c>
      <c r="G63" s="61">
        <v>335000</v>
      </c>
      <c r="H63" s="61">
        <f t="shared" si="16"/>
        <v>26642591.45</v>
      </c>
      <c r="I63" s="61">
        <v>0</v>
      </c>
      <c r="J63" s="61">
        <f t="shared" si="17"/>
        <v>26642591.45</v>
      </c>
      <c r="K63" s="61">
        <f t="shared" si="3"/>
        <v>832580.9828125</v>
      </c>
      <c r="L63" s="18">
        <v>32</v>
      </c>
      <c r="M63" s="67">
        <f>67-32</f>
        <v>35</v>
      </c>
      <c r="N63" s="18">
        <f t="shared" si="22"/>
        <v>67</v>
      </c>
      <c r="O63" s="68">
        <v>45336</v>
      </c>
      <c r="P63" s="69">
        <v>45701</v>
      </c>
      <c r="Q63" s="18" t="str">
        <f t="shared" si="4"/>
        <v>February</v>
      </c>
      <c r="R63" s="18">
        <f t="shared" si="5"/>
        <v>2024</v>
      </c>
      <c r="S63" s="18" t="s">
        <v>29</v>
      </c>
      <c r="T63" s="18" t="s">
        <v>114</v>
      </c>
      <c r="U63" s="18" t="s">
        <v>31</v>
      </c>
      <c r="V63" s="53" t="s">
        <v>115</v>
      </c>
      <c r="W63" s="79">
        <v>45301</v>
      </c>
      <c r="X63" s="18">
        <f ca="1" t="shared" si="18"/>
        <v>247</v>
      </c>
      <c r="Y63" s="18">
        <f t="shared" si="21"/>
        <v>35</v>
      </c>
      <c r="Z63" s="63">
        <f t="shared" si="8"/>
        <v>1.09</v>
      </c>
      <c r="AA63" t="str">
        <f t="shared" si="9"/>
        <v>Tigers</v>
      </c>
    </row>
    <row r="64" ht="15.75" customHeight="1" spans="1:27">
      <c r="A64" s="18" t="s">
        <v>117</v>
      </c>
      <c r="B64" s="18" t="s">
        <v>27</v>
      </c>
      <c r="C64" s="60" t="s">
        <v>28</v>
      </c>
      <c r="D64" s="60" t="s">
        <v>28</v>
      </c>
      <c r="E64" s="61">
        <v>22693363</v>
      </c>
      <c r="F64" s="61">
        <f t="shared" si="15"/>
        <v>1134668.15</v>
      </c>
      <c r="G64" s="61">
        <v>720000</v>
      </c>
      <c r="H64" s="61">
        <f t="shared" si="16"/>
        <v>24548031.15</v>
      </c>
      <c r="I64" s="61">
        <v>0</v>
      </c>
      <c r="J64" s="61">
        <f t="shared" si="17"/>
        <v>24548031.15</v>
      </c>
      <c r="K64" s="61">
        <f t="shared" si="3"/>
        <v>454593.169444444</v>
      </c>
      <c r="L64" s="18">
        <v>54</v>
      </c>
      <c r="M64" s="67">
        <f>72-54</f>
        <v>18</v>
      </c>
      <c r="N64" s="18">
        <f t="shared" si="22"/>
        <v>72</v>
      </c>
      <c r="O64" s="68">
        <v>45344</v>
      </c>
      <c r="P64" s="69">
        <v>45709</v>
      </c>
      <c r="Q64" s="18" t="str">
        <f t="shared" si="4"/>
        <v>February</v>
      </c>
      <c r="R64" s="18">
        <f t="shared" si="5"/>
        <v>2024</v>
      </c>
      <c r="S64" s="18" t="s">
        <v>29</v>
      </c>
      <c r="T64" s="18" t="s">
        <v>114</v>
      </c>
      <c r="U64" s="18" t="s">
        <v>31</v>
      </c>
      <c r="V64" s="53" t="s">
        <v>115</v>
      </c>
      <c r="W64" s="79">
        <v>45297</v>
      </c>
      <c r="X64" s="18">
        <f ca="1" t="shared" si="18"/>
        <v>239</v>
      </c>
      <c r="Y64" s="18">
        <f t="shared" si="21"/>
        <v>47</v>
      </c>
      <c r="Z64" s="63">
        <f t="shared" si="8"/>
        <v>0.33</v>
      </c>
      <c r="AA64" t="str">
        <f t="shared" si="9"/>
        <v>Tigers</v>
      </c>
    </row>
    <row r="65" ht="15.75" customHeight="1" spans="1:27">
      <c r="A65" s="18" t="s">
        <v>118</v>
      </c>
      <c r="B65" s="18" t="s">
        <v>87</v>
      </c>
      <c r="C65" s="60" t="s">
        <v>28</v>
      </c>
      <c r="D65" s="53" t="s">
        <v>65</v>
      </c>
      <c r="E65" s="61">
        <v>34306666</v>
      </c>
      <c r="F65" s="61">
        <f t="shared" si="15"/>
        <v>1715333.3</v>
      </c>
      <c r="G65" s="61">
        <v>0</v>
      </c>
      <c r="H65" s="61">
        <f t="shared" si="16"/>
        <v>36021999.3</v>
      </c>
      <c r="I65" s="61">
        <v>0</v>
      </c>
      <c r="J65" s="61">
        <f t="shared" si="17"/>
        <v>36021999.3</v>
      </c>
      <c r="K65" s="61">
        <f t="shared" si="3"/>
        <v>1000611.09166667</v>
      </c>
      <c r="L65" s="18">
        <v>36</v>
      </c>
      <c r="M65" s="67">
        <f>105-36</f>
        <v>69</v>
      </c>
      <c r="N65" s="18">
        <f t="shared" si="22"/>
        <v>105</v>
      </c>
      <c r="O65" s="68">
        <v>45359</v>
      </c>
      <c r="P65" s="69">
        <v>45723</v>
      </c>
      <c r="Q65" s="18" t="str">
        <f t="shared" si="4"/>
        <v>March</v>
      </c>
      <c r="R65" s="18">
        <f t="shared" si="5"/>
        <v>2024</v>
      </c>
      <c r="S65" s="18" t="s">
        <v>29</v>
      </c>
      <c r="T65" s="18" t="s">
        <v>114</v>
      </c>
      <c r="U65" s="18" t="s">
        <v>31</v>
      </c>
      <c r="V65" s="53" t="s">
        <v>115</v>
      </c>
      <c r="W65" s="79">
        <v>45328</v>
      </c>
      <c r="X65" s="18">
        <f ca="1" t="shared" si="18"/>
        <v>224</v>
      </c>
      <c r="Y65" s="18">
        <f t="shared" si="21"/>
        <v>31</v>
      </c>
      <c r="Z65" s="63">
        <f t="shared" si="8"/>
        <v>1.92</v>
      </c>
      <c r="AA65" t="str">
        <f t="shared" si="9"/>
        <v>Tigers</v>
      </c>
    </row>
    <row r="66" ht="15.75" customHeight="1" spans="1:27">
      <c r="A66" s="18" t="s">
        <v>119</v>
      </c>
      <c r="B66" s="18" t="s">
        <v>27</v>
      </c>
      <c r="C66" s="60" t="s">
        <v>28</v>
      </c>
      <c r="D66" s="60" t="s">
        <v>28</v>
      </c>
      <c r="E66" s="61">
        <v>654024</v>
      </c>
      <c r="F66" s="61">
        <f t="shared" si="15"/>
        <v>32701.2</v>
      </c>
      <c r="G66" s="61">
        <v>10000</v>
      </c>
      <c r="H66" s="61">
        <f t="shared" si="16"/>
        <v>696725.2</v>
      </c>
      <c r="I66" s="61">
        <v>0</v>
      </c>
      <c r="J66" s="61">
        <f t="shared" si="17"/>
        <v>696725.2</v>
      </c>
      <c r="K66" s="61">
        <f t="shared" ref="K66:K126" si="23">J66/L66</f>
        <v>696725.2</v>
      </c>
      <c r="L66" s="18">
        <v>1</v>
      </c>
      <c r="M66" s="67">
        <v>0</v>
      </c>
      <c r="N66" s="18">
        <f t="shared" si="22"/>
        <v>1</v>
      </c>
      <c r="O66" s="68">
        <v>45394</v>
      </c>
      <c r="P66" s="69">
        <v>45758</v>
      </c>
      <c r="Q66" s="18" t="str">
        <f t="shared" ref="Q66:Q126" si="24">TEXT(O66,"mmmm")</f>
        <v>April</v>
      </c>
      <c r="R66" s="18">
        <f t="shared" ref="R66:R126" si="25">YEAR(O66)</f>
        <v>2024</v>
      </c>
      <c r="S66" s="18" t="s">
        <v>29</v>
      </c>
      <c r="T66" s="18" t="s">
        <v>114</v>
      </c>
      <c r="U66" s="18" t="s">
        <v>31</v>
      </c>
      <c r="V66" s="53" t="s">
        <v>115</v>
      </c>
      <c r="W66" s="79">
        <v>45393</v>
      </c>
      <c r="X66" s="18">
        <f ca="1" t="shared" si="18"/>
        <v>189</v>
      </c>
      <c r="Y66" s="18">
        <f t="shared" si="21"/>
        <v>1</v>
      </c>
      <c r="Z66" s="63">
        <f t="shared" ref="Z66:Z92" si="26">ROUND(M66/L66,2)</f>
        <v>0</v>
      </c>
      <c r="AA66" t="str">
        <f t="shared" ref="AA66:AA126" si="27">IF(L66&lt;=29,"Hares",IF(L66&lt;=99,"Tigers",IF(L66&lt;=499,"Elephants","Whales")))</f>
        <v>Hares</v>
      </c>
    </row>
    <row r="67" ht="15.75" customHeight="1" spans="1:27">
      <c r="A67" s="18" t="s">
        <v>120</v>
      </c>
      <c r="B67" s="18" t="s">
        <v>27</v>
      </c>
      <c r="C67" s="60" t="s">
        <v>28</v>
      </c>
      <c r="D67" s="60" t="s">
        <v>28</v>
      </c>
      <c r="E67" s="61">
        <v>1111499</v>
      </c>
      <c r="F67" s="61">
        <f t="shared" si="15"/>
        <v>55574.95</v>
      </c>
      <c r="G67" s="61">
        <v>20000</v>
      </c>
      <c r="H67" s="61">
        <f t="shared" si="16"/>
        <v>1187073.95</v>
      </c>
      <c r="I67" s="61">
        <v>0</v>
      </c>
      <c r="J67" s="61">
        <f t="shared" si="17"/>
        <v>1187073.95</v>
      </c>
      <c r="K67" s="61">
        <f t="shared" si="23"/>
        <v>1187073.95</v>
      </c>
      <c r="L67" s="18">
        <v>1</v>
      </c>
      <c r="M67" s="67">
        <v>1</v>
      </c>
      <c r="N67" s="18">
        <f t="shared" si="22"/>
        <v>2</v>
      </c>
      <c r="O67" s="68">
        <v>45453</v>
      </c>
      <c r="P67" s="69">
        <v>45817</v>
      </c>
      <c r="Q67" s="18" t="str">
        <f t="shared" si="24"/>
        <v>June</v>
      </c>
      <c r="R67" s="18">
        <f t="shared" si="25"/>
        <v>2024</v>
      </c>
      <c r="S67" s="18" t="s">
        <v>29</v>
      </c>
      <c r="T67" s="18" t="s">
        <v>114</v>
      </c>
      <c r="U67" s="18" t="s">
        <v>31</v>
      </c>
      <c r="V67" s="53" t="s">
        <v>115</v>
      </c>
      <c r="W67" s="79">
        <v>45439</v>
      </c>
      <c r="X67" s="18">
        <f ca="1" t="shared" si="18"/>
        <v>130</v>
      </c>
      <c r="Y67" s="18">
        <f t="shared" si="21"/>
        <v>14</v>
      </c>
      <c r="Z67" s="63">
        <f t="shared" si="26"/>
        <v>1</v>
      </c>
      <c r="AA67" t="str">
        <f t="shared" si="27"/>
        <v>Hares</v>
      </c>
    </row>
    <row r="68" ht="15.75" customHeight="1" spans="1:27">
      <c r="A68" s="18" t="s">
        <v>121</v>
      </c>
      <c r="B68" s="62" t="s">
        <v>27</v>
      </c>
      <c r="C68" s="60" t="s">
        <v>28</v>
      </c>
      <c r="D68" s="60" t="s">
        <v>28</v>
      </c>
      <c r="E68" s="61">
        <v>620086</v>
      </c>
      <c r="F68" s="61">
        <f t="shared" si="15"/>
        <v>31004.3</v>
      </c>
      <c r="G68" s="61">
        <v>10000</v>
      </c>
      <c r="H68" s="61">
        <f t="shared" si="16"/>
        <v>661090.3</v>
      </c>
      <c r="I68" s="61">
        <v>0</v>
      </c>
      <c r="J68" s="61">
        <f t="shared" si="17"/>
        <v>661090.3</v>
      </c>
      <c r="K68" s="61">
        <f t="shared" si="23"/>
        <v>661090.3</v>
      </c>
      <c r="L68" s="18">
        <v>1</v>
      </c>
      <c r="M68" s="67">
        <v>0</v>
      </c>
      <c r="N68" s="18">
        <v>1</v>
      </c>
      <c r="O68" s="70">
        <v>45485</v>
      </c>
      <c r="P68" s="71">
        <v>45849</v>
      </c>
      <c r="Q68" s="18" t="str">
        <f t="shared" si="24"/>
        <v>July</v>
      </c>
      <c r="R68" s="18">
        <f t="shared" si="25"/>
        <v>2024</v>
      </c>
      <c r="S68" s="18" t="s">
        <v>29</v>
      </c>
      <c r="T68" s="18" t="s">
        <v>114</v>
      </c>
      <c r="U68" s="18" t="s">
        <v>31</v>
      </c>
      <c r="V68" s="53" t="s">
        <v>115</v>
      </c>
      <c r="W68" s="80">
        <v>45485</v>
      </c>
      <c r="X68" s="18">
        <f ca="1" t="shared" si="18"/>
        <v>98</v>
      </c>
      <c r="Y68" s="18">
        <f t="shared" si="21"/>
        <v>0</v>
      </c>
      <c r="Z68" s="63">
        <f t="shared" si="26"/>
        <v>0</v>
      </c>
      <c r="AA68" t="str">
        <f t="shared" si="27"/>
        <v>Hares</v>
      </c>
    </row>
    <row r="69" ht="15.75" customHeight="1" spans="1:27">
      <c r="A69" s="18" t="s">
        <v>122</v>
      </c>
      <c r="B69" s="62" t="s">
        <v>27</v>
      </c>
      <c r="C69" s="60" t="s">
        <v>28</v>
      </c>
      <c r="D69" s="60" t="s">
        <v>28</v>
      </c>
      <c r="E69" s="61">
        <v>81852963</v>
      </c>
      <c r="F69" s="61">
        <f t="shared" si="15"/>
        <v>4092648.15</v>
      </c>
      <c r="G69" s="61">
        <v>2210000</v>
      </c>
      <c r="H69" s="61">
        <f t="shared" si="16"/>
        <v>88155611.15</v>
      </c>
      <c r="I69" s="61"/>
      <c r="J69" s="61">
        <f t="shared" si="17"/>
        <v>88155611.15</v>
      </c>
      <c r="K69" s="61">
        <f t="shared" si="23"/>
        <v>199447.084049774</v>
      </c>
      <c r="L69" s="18">
        <v>442</v>
      </c>
      <c r="M69" s="67">
        <v>0</v>
      </c>
      <c r="N69" s="18">
        <v>442</v>
      </c>
      <c r="O69" s="70">
        <v>45510</v>
      </c>
      <c r="P69" s="71">
        <v>45874</v>
      </c>
      <c r="Q69" s="18" t="str">
        <f t="shared" si="24"/>
        <v>August</v>
      </c>
      <c r="R69" s="18">
        <f t="shared" si="25"/>
        <v>2024</v>
      </c>
      <c r="S69" s="18" t="s">
        <v>29</v>
      </c>
      <c r="T69" s="18" t="s">
        <v>114</v>
      </c>
      <c r="U69" s="18" t="s">
        <v>31</v>
      </c>
      <c r="V69" s="53" t="s">
        <v>115</v>
      </c>
      <c r="W69" s="80">
        <v>45476</v>
      </c>
      <c r="X69" s="18">
        <f ca="1" t="shared" si="18"/>
        <v>73</v>
      </c>
      <c r="Y69" s="18">
        <f t="shared" si="21"/>
        <v>34</v>
      </c>
      <c r="Z69" s="63">
        <f t="shared" si="26"/>
        <v>0</v>
      </c>
      <c r="AA69" t="str">
        <f t="shared" si="27"/>
        <v>Elephants</v>
      </c>
    </row>
    <row r="70" ht="15.75" customHeight="1" spans="1:27">
      <c r="A70" s="18" t="s">
        <v>123</v>
      </c>
      <c r="B70" s="62" t="s">
        <v>27</v>
      </c>
      <c r="C70" s="60" t="s">
        <v>28</v>
      </c>
      <c r="D70" s="60" t="s">
        <v>28</v>
      </c>
      <c r="E70" s="61">
        <v>7878987</v>
      </c>
      <c r="F70" s="61">
        <f t="shared" si="15"/>
        <v>393949.35</v>
      </c>
      <c r="G70" s="61">
        <v>150000</v>
      </c>
      <c r="H70" s="61">
        <f t="shared" si="16"/>
        <v>8422936.35</v>
      </c>
      <c r="I70" s="61"/>
      <c r="J70" s="61">
        <f t="shared" si="17"/>
        <v>8422936.35</v>
      </c>
      <c r="K70" s="61">
        <f t="shared" si="23"/>
        <v>935881.816666667</v>
      </c>
      <c r="L70" s="18">
        <v>9</v>
      </c>
      <c r="M70" s="67">
        <v>6</v>
      </c>
      <c r="N70" s="18">
        <v>15</v>
      </c>
      <c r="O70" s="70">
        <v>45512</v>
      </c>
      <c r="P70" s="71">
        <v>45876</v>
      </c>
      <c r="Q70" s="18" t="str">
        <f t="shared" si="24"/>
        <v>August</v>
      </c>
      <c r="R70" s="18">
        <f t="shared" si="25"/>
        <v>2024</v>
      </c>
      <c r="S70" s="18" t="s">
        <v>29</v>
      </c>
      <c r="T70" s="18" t="s">
        <v>114</v>
      </c>
      <c r="U70" s="18" t="s">
        <v>31</v>
      </c>
      <c r="V70" s="53" t="s">
        <v>115</v>
      </c>
      <c r="W70" s="80">
        <v>45464</v>
      </c>
      <c r="X70" s="18">
        <f ca="1" t="shared" si="18"/>
        <v>71</v>
      </c>
      <c r="Y70" s="18">
        <f t="shared" si="21"/>
        <v>48</v>
      </c>
      <c r="Z70" s="63">
        <f t="shared" si="26"/>
        <v>0.67</v>
      </c>
      <c r="AA70" t="str">
        <f t="shared" si="27"/>
        <v>Hares</v>
      </c>
    </row>
    <row r="71" ht="15.75" customHeight="1" spans="1:27">
      <c r="A71" s="18" t="s">
        <v>124</v>
      </c>
      <c r="B71" s="62" t="s">
        <v>27</v>
      </c>
      <c r="C71" s="60" t="s">
        <v>28</v>
      </c>
      <c r="D71" s="60" t="s">
        <v>28</v>
      </c>
      <c r="E71" s="61">
        <v>5141252</v>
      </c>
      <c r="F71" s="61">
        <f t="shared" si="15"/>
        <v>257062.6</v>
      </c>
      <c r="G71" s="61">
        <v>90000</v>
      </c>
      <c r="H71" s="61">
        <f t="shared" si="16"/>
        <v>5488314.6</v>
      </c>
      <c r="I71" s="61">
        <v>0</v>
      </c>
      <c r="J71" s="61">
        <f t="shared" si="17"/>
        <v>5488314.6</v>
      </c>
      <c r="K71" s="61">
        <f t="shared" si="23"/>
        <v>1829438.2</v>
      </c>
      <c r="L71" s="18">
        <v>3</v>
      </c>
      <c r="M71" s="67">
        <v>6</v>
      </c>
      <c r="N71" s="18">
        <v>9</v>
      </c>
      <c r="O71" s="70">
        <v>45536</v>
      </c>
      <c r="P71" s="71">
        <v>45900</v>
      </c>
      <c r="Q71" s="18" t="str">
        <f t="shared" si="24"/>
        <v>September</v>
      </c>
      <c r="R71" s="18">
        <f t="shared" si="25"/>
        <v>2024</v>
      </c>
      <c r="S71" s="18" t="s">
        <v>29</v>
      </c>
      <c r="T71" s="18" t="s">
        <v>114</v>
      </c>
      <c r="U71" s="18" t="s">
        <v>31</v>
      </c>
      <c r="V71" s="53" t="s">
        <v>115</v>
      </c>
      <c r="W71" s="80">
        <v>45314</v>
      </c>
      <c r="X71" s="18"/>
      <c r="Y71" s="18"/>
      <c r="Z71" s="63">
        <f t="shared" si="26"/>
        <v>2</v>
      </c>
      <c r="AA71" t="str">
        <f t="shared" si="27"/>
        <v>Hares</v>
      </c>
    </row>
    <row r="72" ht="15.75" customHeight="1" spans="1:27">
      <c r="A72" s="18" t="s">
        <v>125</v>
      </c>
      <c r="B72" s="62" t="s">
        <v>27</v>
      </c>
      <c r="C72" s="60" t="s">
        <v>45</v>
      </c>
      <c r="D72" s="60" t="s">
        <v>45</v>
      </c>
      <c r="E72" s="63"/>
      <c r="F72" s="63"/>
      <c r="G72" s="63"/>
      <c r="H72" s="63"/>
      <c r="I72" s="63"/>
      <c r="J72" s="72">
        <v>45546376</v>
      </c>
      <c r="K72" s="61">
        <f t="shared" si="23"/>
        <v>42887.3596986817</v>
      </c>
      <c r="L72" s="73">
        <v>1062</v>
      </c>
      <c r="M72" s="67">
        <v>0</v>
      </c>
      <c r="N72" s="73">
        <v>1062</v>
      </c>
      <c r="O72" s="74">
        <v>45536</v>
      </c>
      <c r="P72" s="75">
        <v>45657</v>
      </c>
      <c r="Q72" s="18" t="str">
        <f t="shared" si="24"/>
        <v>September</v>
      </c>
      <c r="R72" s="18">
        <f t="shared" si="25"/>
        <v>2024</v>
      </c>
      <c r="S72" s="18" t="s">
        <v>29</v>
      </c>
      <c r="T72" s="18" t="s">
        <v>114</v>
      </c>
      <c r="U72" s="18" t="s">
        <v>31</v>
      </c>
      <c r="V72" s="53" t="s">
        <v>115</v>
      </c>
      <c r="W72" s="81"/>
      <c r="X72" s="81"/>
      <c r="Y72" s="81"/>
      <c r="Z72" s="63">
        <f t="shared" si="26"/>
        <v>0</v>
      </c>
      <c r="AA72" t="str">
        <f t="shared" si="27"/>
        <v>Whales</v>
      </c>
    </row>
    <row r="73" ht="15.75" customHeight="1" spans="1:27">
      <c r="A73" s="18" t="s">
        <v>126</v>
      </c>
      <c r="B73" s="18" t="s">
        <v>27</v>
      </c>
      <c r="C73" s="60" t="s">
        <v>28</v>
      </c>
      <c r="D73" s="60" t="s">
        <v>28</v>
      </c>
      <c r="E73" s="61">
        <f>18705931+180981601</f>
        <v>199687532</v>
      </c>
      <c r="F73" s="61">
        <f t="shared" ref="F73:F79" si="28">E73*5%</f>
        <v>9984376.6</v>
      </c>
      <c r="G73" s="61">
        <f>520000+9990000</f>
        <v>10510000</v>
      </c>
      <c r="H73" s="61">
        <f t="shared" ref="H73:H79" si="29">SUM(E73:G73)</f>
        <v>220181908.6</v>
      </c>
      <c r="I73" s="61">
        <v>0</v>
      </c>
      <c r="J73" s="61">
        <f t="shared" ref="J73:J79" si="30">SUM(H73:I73)</f>
        <v>220181908.6</v>
      </c>
      <c r="K73" s="61">
        <f t="shared" si="23"/>
        <v>574887.489817232</v>
      </c>
      <c r="L73" s="18">
        <v>383</v>
      </c>
      <c r="M73" s="67">
        <f>1051-383</f>
        <v>668</v>
      </c>
      <c r="N73" s="18">
        <f>SUM(L73:M73)</f>
        <v>1051</v>
      </c>
      <c r="O73" s="68">
        <v>45407</v>
      </c>
      <c r="P73" s="69">
        <v>45771</v>
      </c>
      <c r="Q73" s="18" t="str">
        <f t="shared" si="24"/>
        <v>April</v>
      </c>
      <c r="R73" s="18">
        <f t="shared" si="25"/>
        <v>2024</v>
      </c>
      <c r="S73" s="18" t="s">
        <v>34</v>
      </c>
      <c r="T73" s="18" t="s">
        <v>127</v>
      </c>
      <c r="U73" s="18"/>
      <c r="V73" s="18"/>
      <c r="W73" s="79">
        <v>45384</v>
      </c>
      <c r="X73" s="18">
        <f ca="1" t="shared" ref="X73:X79" si="31">TODAY()-O73</f>
        <v>176</v>
      </c>
      <c r="Y73" s="18">
        <f t="shared" ref="Y73:Y79" si="32">O73-W73</f>
        <v>23</v>
      </c>
      <c r="Z73" s="63">
        <f t="shared" si="26"/>
        <v>1.74</v>
      </c>
      <c r="AA73" t="str">
        <f t="shared" si="27"/>
        <v>Elephants</v>
      </c>
    </row>
    <row r="74" ht="15.75" customHeight="1" spans="1:27">
      <c r="A74" s="18" t="s">
        <v>128</v>
      </c>
      <c r="B74" s="18" t="s">
        <v>27</v>
      </c>
      <c r="C74" s="60" t="s">
        <v>28</v>
      </c>
      <c r="D74" s="60" t="s">
        <v>28</v>
      </c>
      <c r="E74" s="61">
        <v>58386990.541</v>
      </c>
      <c r="F74" s="61">
        <f t="shared" si="28"/>
        <v>2919349.52705</v>
      </c>
      <c r="G74" s="61">
        <v>1635000</v>
      </c>
      <c r="H74" s="61">
        <f t="shared" si="29"/>
        <v>62941340.06805</v>
      </c>
      <c r="I74" s="61">
        <v>0</v>
      </c>
      <c r="J74" s="61">
        <f t="shared" si="30"/>
        <v>62941340.06805</v>
      </c>
      <c r="K74" s="61">
        <f t="shared" si="23"/>
        <v>440149.231245105</v>
      </c>
      <c r="L74" s="18">
        <v>143</v>
      </c>
      <c r="M74" s="67">
        <f>338-L74</f>
        <v>195</v>
      </c>
      <c r="N74" s="18">
        <f>SUM(L74:M74)</f>
        <v>338</v>
      </c>
      <c r="O74" s="68">
        <v>45444</v>
      </c>
      <c r="P74" s="69">
        <v>45808</v>
      </c>
      <c r="Q74" s="18" t="str">
        <f t="shared" si="24"/>
        <v>June</v>
      </c>
      <c r="R74" s="18">
        <f t="shared" si="25"/>
        <v>2024</v>
      </c>
      <c r="S74" s="18" t="s">
        <v>34</v>
      </c>
      <c r="T74" s="18" t="s">
        <v>127</v>
      </c>
      <c r="U74" s="18"/>
      <c r="V74" s="18"/>
      <c r="W74" s="79">
        <v>45345</v>
      </c>
      <c r="X74" s="18">
        <f ca="1" t="shared" si="31"/>
        <v>139</v>
      </c>
      <c r="Y74" s="18">
        <f t="shared" si="32"/>
        <v>99</v>
      </c>
      <c r="Z74" s="63">
        <f t="shared" si="26"/>
        <v>1.36</v>
      </c>
      <c r="AA74" t="str">
        <f t="shared" si="27"/>
        <v>Elephants</v>
      </c>
    </row>
    <row r="75" ht="15.75" customHeight="1" spans="1:27">
      <c r="A75" s="18" t="s">
        <v>129</v>
      </c>
      <c r="B75" s="62" t="s">
        <v>87</v>
      </c>
      <c r="C75" s="60" t="s">
        <v>28</v>
      </c>
      <c r="D75" s="53" t="s">
        <v>65</v>
      </c>
      <c r="E75" s="61">
        <v>6794224</v>
      </c>
      <c r="F75" s="61">
        <f t="shared" si="28"/>
        <v>339711.2</v>
      </c>
      <c r="G75" s="61">
        <v>70000</v>
      </c>
      <c r="H75" s="61">
        <f t="shared" si="29"/>
        <v>7203935.2</v>
      </c>
      <c r="I75" s="61">
        <v>0</v>
      </c>
      <c r="J75" s="61">
        <f t="shared" si="30"/>
        <v>7203935.2</v>
      </c>
      <c r="K75" s="61">
        <f t="shared" si="23"/>
        <v>1200655.86666667</v>
      </c>
      <c r="L75" s="18">
        <v>6</v>
      </c>
      <c r="M75" s="67">
        <v>8</v>
      </c>
      <c r="N75" s="18">
        <f>SUM(L75:M75)</f>
        <v>14</v>
      </c>
      <c r="O75" s="70">
        <v>45459</v>
      </c>
      <c r="P75" s="71">
        <v>45823</v>
      </c>
      <c r="Q75" s="18" t="str">
        <f t="shared" si="24"/>
        <v>June</v>
      </c>
      <c r="R75" s="18">
        <f t="shared" si="25"/>
        <v>2024</v>
      </c>
      <c r="S75" s="18" t="s">
        <v>34</v>
      </c>
      <c r="T75" s="18" t="s">
        <v>127</v>
      </c>
      <c r="U75" s="18"/>
      <c r="V75" s="18"/>
      <c r="W75" s="80">
        <v>45419</v>
      </c>
      <c r="X75" s="18">
        <f ca="1" t="shared" si="31"/>
        <v>124</v>
      </c>
      <c r="Y75" s="18">
        <f t="shared" si="32"/>
        <v>40</v>
      </c>
      <c r="Z75" s="63">
        <f t="shared" si="26"/>
        <v>1.33</v>
      </c>
      <c r="AA75" t="str">
        <f t="shared" si="27"/>
        <v>Hares</v>
      </c>
    </row>
    <row r="76" ht="15.75" customHeight="1" spans="1:27">
      <c r="A76" s="18" t="s">
        <v>130</v>
      </c>
      <c r="B76" s="62" t="s">
        <v>87</v>
      </c>
      <c r="C76" s="60" t="s">
        <v>28</v>
      </c>
      <c r="D76" s="53" t="s">
        <v>65</v>
      </c>
      <c r="E76" s="61">
        <v>23221393</v>
      </c>
      <c r="F76" s="61">
        <f t="shared" si="28"/>
        <v>1161069.65</v>
      </c>
      <c r="G76" s="61">
        <v>570000</v>
      </c>
      <c r="H76" s="61">
        <f t="shared" si="29"/>
        <v>24952462.65</v>
      </c>
      <c r="I76" s="61">
        <v>0</v>
      </c>
      <c r="J76" s="61">
        <f t="shared" si="30"/>
        <v>24952462.65</v>
      </c>
      <c r="K76" s="61">
        <f t="shared" si="23"/>
        <v>1084889.68043478</v>
      </c>
      <c r="L76" s="18">
        <v>23</v>
      </c>
      <c r="M76" s="67">
        <v>34</v>
      </c>
      <c r="N76" s="18">
        <f>SUM(L76:M76)</f>
        <v>57</v>
      </c>
      <c r="O76" s="70">
        <v>45461</v>
      </c>
      <c r="P76" s="71">
        <v>45825</v>
      </c>
      <c r="Q76" s="18" t="str">
        <f t="shared" si="24"/>
        <v>June</v>
      </c>
      <c r="R76" s="18">
        <f t="shared" si="25"/>
        <v>2024</v>
      </c>
      <c r="S76" s="18" t="s">
        <v>34</v>
      </c>
      <c r="T76" s="18" t="s">
        <v>127</v>
      </c>
      <c r="U76" s="18"/>
      <c r="V76" s="18"/>
      <c r="W76" s="80">
        <v>45444</v>
      </c>
      <c r="X76" s="18">
        <f ca="1" t="shared" si="31"/>
        <v>122</v>
      </c>
      <c r="Y76" s="18">
        <f t="shared" si="32"/>
        <v>17</v>
      </c>
      <c r="Z76" s="63">
        <f t="shared" si="26"/>
        <v>1.48</v>
      </c>
      <c r="AA76" t="str">
        <f t="shared" si="27"/>
        <v>Hares</v>
      </c>
    </row>
    <row r="77" ht="15.75" customHeight="1" spans="1:27">
      <c r="A77" s="18" t="s">
        <v>131</v>
      </c>
      <c r="B77" s="62" t="s">
        <v>87</v>
      </c>
      <c r="C77" s="60" t="s">
        <v>28</v>
      </c>
      <c r="D77" s="53" t="s">
        <v>65</v>
      </c>
      <c r="E77" s="61">
        <v>2472532</v>
      </c>
      <c r="F77" s="61">
        <f t="shared" si="28"/>
        <v>123626.6</v>
      </c>
      <c r="G77" s="61">
        <v>70000</v>
      </c>
      <c r="H77" s="61">
        <f t="shared" si="29"/>
        <v>2666158.6</v>
      </c>
      <c r="I77" s="61">
        <v>0</v>
      </c>
      <c r="J77" s="61">
        <f t="shared" si="30"/>
        <v>2666158.6</v>
      </c>
      <c r="K77" s="61">
        <f t="shared" si="23"/>
        <v>1333079.3</v>
      </c>
      <c r="L77" s="18">
        <v>2</v>
      </c>
      <c r="M77" s="67">
        <v>5</v>
      </c>
      <c r="N77" s="18">
        <f>SUM(L77:M77)</f>
        <v>7</v>
      </c>
      <c r="O77" s="70">
        <v>45464</v>
      </c>
      <c r="P77" s="71">
        <v>45828</v>
      </c>
      <c r="Q77" s="18" t="str">
        <f t="shared" si="24"/>
        <v>June</v>
      </c>
      <c r="R77" s="18">
        <f t="shared" si="25"/>
        <v>2024</v>
      </c>
      <c r="S77" s="18" t="s">
        <v>34</v>
      </c>
      <c r="T77" s="18" t="s">
        <v>127</v>
      </c>
      <c r="U77" s="18"/>
      <c r="V77" s="18"/>
      <c r="W77" s="80">
        <v>45462</v>
      </c>
      <c r="X77" s="18">
        <f ca="1" t="shared" si="31"/>
        <v>119</v>
      </c>
      <c r="Y77" s="18">
        <f t="shared" si="32"/>
        <v>2</v>
      </c>
      <c r="Z77" s="63">
        <f t="shared" si="26"/>
        <v>2.5</v>
      </c>
      <c r="AA77" t="str">
        <f t="shared" si="27"/>
        <v>Hares</v>
      </c>
    </row>
    <row r="78" ht="15.75" customHeight="1" spans="1:27">
      <c r="A78" s="18" t="s">
        <v>132</v>
      </c>
      <c r="B78" s="62" t="s">
        <v>27</v>
      </c>
      <c r="C78" s="60" t="s">
        <v>28</v>
      </c>
      <c r="D78" s="60" t="s">
        <v>28</v>
      </c>
      <c r="E78" s="61">
        <v>4486701</v>
      </c>
      <c r="F78" s="61">
        <f t="shared" si="28"/>
        <v>224335.05</v>
      </c>
      <c r="G78" s="61">
        <v>55000</v>
      </c>
      <c r="H78" s="61">
        <f t="shared" si="29"/>
        <v>4766036.05</v>
      </c>
      <c r="I78" s="61"/>
      <c r="J78" s="61">
        <f t="shared" si="30"/>
        <v>4766036.05</v>
      </c>
      <c r="K78" s="61">
        <f t="shared" si="23"/>
        <v>953207.21</v>
      </c>
      <c r="L78" s="18">
        <v>5</v>
      </c>
      <c r="M78" s="67">
        <v>6</v>
      </c>
      <c r="N78" s="61">
        <f>L78+M78</f>
        <v>11</v>
      </c>
      <c r="O78" s="70">
        <v>45521</v>
      </c>
      <c r="P78" s="71">
        <v>45885</v>
      </c>
      <c r="Q78" s="18" t="str">
        <f t="shared" si="24"/>
        <v>August</v>
      </c>
      <c r="R78" s="18">
        <f t="shared" si="25"/>
        <v>2024</v>
      </c>
      <c r="S78" s="18" t="s">
        <v>29</v>
      </c>
      <c r="T78" s="18" t="s">
        <v>133</v>
      </c>
      <c r="U78" s="18" t="s">
        <v>31</v>
      </c>
      <c r="V78" s="53" t="s">
        <v>115</v>
      </c>
      <c r="W78" s="80">
        <v>45475</v>
      </c>
      <c r="X78" s="18">
        <f ca="1" t="shared" si="31"/>
        <v>62</v>
      </c>
      <c r="Y78" s="18">
        <f t="shared" si="32"/>
        <v>46</v>
      </c>
      <c r="Z78" s="63">
        <f t="shared" si="26"/>
        <v>1.2</v>
      </c>
      <c r="AA78" t="str">
        <f t="shared" si="27"/>
        <v>Hares</v>
      </c>
    </row>
    <row r="79" ht="15.75" customHeight="1" spans="1:27">
      <c r="A79" s="18" t="s">
        <v>134</v>
      </c>
      <c r="B79" s="18" t="s">
        <v>87</v>
      </c>
      <c r="C79" s="60" t="s">
        <v>28</v>
      </c>
      <c r="D79" s="53" t="s">
        <v>65</v>
      </c>
      <c r="E79" s="61">
        <v>3933752</v>
      </c>
      <c r="F79" s="61">
        <f t="shared" si="28"/>
        <v>196687.6</v>
      </c>
      <c r="G79" s="61">
        <v>80000</v>
      </c>
      <c r="H79" s="61">
        <f t="shared" si="29"/>
        <v>4210439.6</v>
      </c>
      <c r="I79" s="61">
        <v>0</v>
      </c>
      <c r="J79" s="61">
        <f t="shared" si="30"/>
        <v>4210439.6</v>
      </c>
      <c r="K79" s="61">
        <f t="shared" si="23"/>
        <v>601491.371428571</v>
      </c>
      <c r="L79" s="18">
        <v>7</v>
      </c>
      <c r="M79" s="67">
        <v>1</v>
      </c>
      <c r="N79" s="18">
        <f>SUM(L79:M79)</f>
        <v>8</v>
      </c>
      <c r="O79" s="68">
        <v>45413</v>
      </c>
      <c r="P79" s="69" t="s">
        <v>57</v>
      </c>
      <c r="Q79" s="18" t="str">
        <f t="shared" si="24"/>
        <v>May</v>
      </c>
      <c r="R79" s="18">
        <f t="shared" si="25"/>
        <v>2024</v>
      </c>
      <c r="S79" s="18" t="s">
        <v>38</v>
      </c>
      <c r="T79" s="18" t="s">
        <v>135</v>
      </c>
      <c r="U79" s="18" t="s">
        <v>31</v>
      </c>
      <c r="V79" s="18"/>
      <c r="W79" s="79"/>
      <c r="X79" s="18">
        <f ca="1" t="shared" si="31"/>
        <v>170</v>
      </c>
      <c r="Y79" s="18">
        <f t="shared" si="32"/>
        <v>45413</v>
      </c>
      <c r="Z79" s="63">
        <f t="shared" si="26"/>
        <v>0.14</v>
      </c>
      <c r="AA79" t="str">
        <f t="shared" si="27"/>
        <v>Hares</v>
      </c>
    </row>
    <row r="80" ht="15.75" customHeight="1" spans="1:27">
      <c r="A80" s="18" t="s">
        <v>44</v>
      </c>
      <c r="B80" s="62" t="s">
        <v>87</v>
      </c>
      <c r="C80" s="53" t="s">
        <v>45</v>
      </c>
      <c r="D80" s="53" t="s">
        <v>65</v>
      </c>
      <c r="E80" s="63"/>
      <c r="F80" s="63"/>
      <c r="G80" s="63"/>
      <c r="H80" s="63"/>
      <c r="I80" s="63"/>
      <c r="J80" s="72">
        <v>8934501</v>
      </c>
      <c r="K80" s="61">
        <f t="shared" si="23"/>
        <v>470236.894736842</v>
      </c>
      <c r="L80" s="73">
        <v>19</v>
      </c>
      <c r="M80" s="67">
        <v>0</v>
      </c>
      <c r="N80" s="73">
        <v>19</v>
      </c>
      <c r="O80" s="74">
        <v>45474</v>
      </c>
      <c r="P80" s="75">
        <v>45838</v>
      </c>
      <c r="Q80" s="18" t="str">
        <f t="shared" si="24"/>
        <v>July</v>
      </c>
      <c r="R80" s="18">
        <f t="shared" si="25"/>
        <v>2024</v>
      </c>
      <c r="S80" s="18" t="s">
        <v>38</v>
      </c>
      <c r="T80" s="18" t="s">
        <v>135</v>
      </c>
      <c r="U80" s="18" t="s">
        <v>31</v>
      </c>
      <c r="V80" s="18"/>
      <c r="W80" s="81"/>
      <c r="X80" s="18"/>
      <c r="Y80" s="18"/>
      <c r="Z80" s="63">
        <f t="shared" si="26"/>
        <v>0</v>
      </c>
      <c r="AA80" t="str">
        <f t="shared" si="27"/>
        <v>Hares</v>
      </c>
    </row>
    <row r="81" ht="15.75" customHeight="1" spans="1:27">
      <c r="A81" s="18" t="s">
        <v>136</v>
      </c>
      <c r="B81" s="62" t="s">
        <v>87</v>
      </c>
      <c r="C81" s="53" t="s">
        <v>28</v>
      </c>
      <c r="D81" s="53" t="s">
        <v>65</v>
      </c>
      <c r="E81" s="61">
        <v>22542225</v>
      </c>
      <c r="F81" s="61">
        <f t="shared" ref="F81:F126" si="33">E81*5%</f>
        <v>1127111.25</v>
      </c>
      <c r="G81" s="61">
        <v>165000</v>
      </c>
      <c r="H81" s="61">
        <f t="shared" ref="H81:H126" si="34">SUM(E81:G81)</f>
        <v>23834336.25</v>
      </c>
      <c r="I81" s="61">
        <v>0</v>
      </c>
      <c r="J81" s="61">
        <f t="shared" ref="J81:J92" si="35">SUM(H81:I81)</f>
        <v>23834336.25</v>
      </c>
      <c r="K81" s="61">
        <f t="shared" si="23"/>
        <v>1191716.8125</v>
      </c>
      <c r="L81" s="18">
        <v>20</v>
      </c>
      <c r="M81" s="67">
        <v>13</v>
      </c>
      <c r="N81" s="18">
        <v>33</v>
      </c>
      <c r="O81" s="70">
        <v>45495</v>
      </c>
      <c r="P81" s="71">
        <v>45859</v>
      </c>
      <c r="Q81" s="18" t="str">
        <f t="shared" si="24"/>
        <v>July</v>
      </c>
      <c r="R81" s="18">
        <f t="shared" si="25"/>
        <v>2024</v>
      </c>
      <c r="S81" s="18" t="s">
        <v>38</v>
      </c>
      <c r="T81" s="18" t="s">
        <v>135</v>
      </c>
      <c r="U81" s="18" t="s">
        <v>31</v>
      </c>
      <c r="V81" s="18"/>
      <c r="W81" s="80">
        <v>45444</v>
      </c>
      <c r="X81" s="18">
        <f ca="1" t="shared" ref="X81:X92" si="36">TODAY()-O81</f>
        <v>88</v>
      </c>
      <c r="Y81" s="18">
        <f t="shared" ref="Y81:Y92" si="37">O81-W81</f>
        <v>51</v>
      </c>
      <c r="Z81" s="63">
        <f t="shared" si="26"/>
        <v>0.65</v>
      </c>
      <c r="AA81" t="str">
        <f t="shared" si="27"/>
        <v>Hares</v>
      </c>
    </row>
    <row r="82" ht="15.75" customHeight="1" spans="1:27">
      <c r="A82" s="18" t="s">
        <v>137</v>
      </c>
      <c r="B82" s="18" t="s">
        <v>27</v>
      </c>
      <c r="C82" s="60" t="s">
        <v>28</v>
      </c>
      <c r="D82" s="60" t="s">
        <v>28</v>
      </c>
      <c r="E82" s="61">
        <v>18273873</v>
      </c>
      <c r="F82" s="61">
        <f t="shared" si="33"/>
        <v>913693.65</v>
      </c>
      <c r="G82" s="61">
        <v>480000</v>
      </c>
      <c r="H82" s="61">
        <f t="shared" si="34"/>
        <v>19667566.65</v>
      </c>
      <c r="I82" s="61"/>
      <c r="J82" s="61">
        <f t="shared" si="35"/>
        <v>19667566.65</v>
      </c>
      <c r="K82" s="61">
        <f t="shared" si="23"/>
        <v>1311171.11</v>
      </c>
      <c r="L82" s="18">
        <v>15</v>
      </c>
      <c r="M82" s="67">
        <v>33</v>
      </c>
      <c r="N82" s="18">
        <f>SUM(L82:M82)</f>
        <v>48</v>
      </c>
      <c r="O82" s="68">
        <v>45378</v>
      </c>
      <c r="P82" s="69">
        <v>45742</v>
      </c>
      <c r="Q82" s="18" t="str">
        <f t="shared" si="24"/>
        <v>March</v>
      </c>
      <c r="R82" s="18">
        <f t="shared" si="25"/>
        <v>2024</v>
      </c>
      <c r="S82" s="18" t="s">
        <v>29</v>
      </c>
      <c r="T82" s="18" t="s">
        <v>138</v>
      </c>
      <c r="U82" s="18" t="s">
        <v>31</v>
      </c>
      <c r="V82" s="53" t="s">
        <v>139</v>
      </c>
      <c r="W82" s="79">
        <v>45373</v>
      </c>
      <c r="X82" s="18">
        <f ca="1" t="shared" si="36"/>
        <v>205</v>
      </c>
      <c r="Y82" s="18">
        <f t="shared" si="37"/>
        <v>5</v>
      </c>
      <c r="Z82" s="63">
        <f t="shared" si="26"/>
        <v>2.2</v>
      </c>
      <c r="AA82" t="str">
        <f t="shared" si="27"/>
        <v>Hares</v>
      </c>
    </row>
    <row r="83" ht="15.75" customHeight="1" spans="1:27">
      <c r="A83" s="18" t="s">
        <v>140</v>
      </c>
      <c r="B83" s="18" t="s">
        <v>27</v>
      </c>
      <c r="C83" s="60" t="s">
        <v>28</v>
      </c>
      <c r="D83" s="60" t="s">
        <v>28</v>
      </c>
      <c r="E83" s="61">
        <f>504665</f>
        <v>504665</v>
      </c>
      <c r="F83" s="61">
        <f t="shared" si="33"/>
        <v>25233.25</v>
      </c>
      <c r="G83" s="61">
        <v>10000</v>
      </c>
      <c r="H83" s="61">
        <f t="shared" si="34"/>
        <v>539898.25</v>
      </c>
      <c r="I83" s="61">
        <v>0</v>
      </c>
      <c r="J83" s="61">
        <f t="shared" si="35"/>
        <v>539898.25</v>
      </c>
      <c r="K83" s="61">
        <f t="shared" si="23"/>
        <v>539898.25</v>
      </c>
      <c r="L83" s="18">
        <v>1</v>
      </c>
      <c r="M83" s="67">
        <v>0</v>
      </c>
      <c r="N83" s="18">
        <f>SUM(L83:M83)</f>
        <v>1</v>
      </c>
      <c r="O83" s="68">
        <v>45392</v>
      </c>
      <c r="P83" s="69">
        <v>45756</v>
      </c>
      <c r="Q83" s="18" t="str">
        <f t="shared" si="24"/>
        <v>April</v>
      </c>
      <c r="R83" s="18">
        <f t="shared" si="25"/>
        <v>2024</v>
      </c>
      <c r="S83" s="18" t="s">
        <v>29</v>
      </c>
      <c r="T83" s="18" t="s">
        <v>138</v>
      </c>
      <c r="U83" s="18" t="s">
        <v>31</v>
      </c>
      <c r="V83" s="53" t="s">
        <v>139</v>
      </c>
      <c r="W83" s="79">
        <v>45387</v>
      </c>
      <c r="X83" s="18">
        <f ca="1" t="shared" si="36"/>
        <v>191</v>
      </c>
      <c r="Y83" s="18">
        <f t="shared" si="37"/>
        <v>5</v>
      </c>
      <c r="Z83" s="63">
        <f t="shared" si="26"/>
        <v>0</v>
      </c>
      <c r="AA83" t="str">
        <f t="shared" si="27"/>
        <v>Hares</v>
      </c>
    </row>
    <row r="84" ht="15.75" customHeight="1" spans="1:27">
      <c r="A84" s="18" t="s">
        <v>141</v>
      </c>
      <c r="B84" s="18" t="s">
        <v>27</v>
      </c>
      <c r="C84" s="60" t="s">
        <v>28</v>
      </c>
      <c r="D84" s="60" t="s">
        <v>28</v>
      </c>
      <c r="E84" s="61">
        <v>2197067</v>
      </c>
      <c r="F84" s="61">
        <f t="shared" si="33"/>
        <v>109853.35</v>
      </c>
      <c r="G84" s="61">
        <v>40000</v>
      </c>
      <c r="H84" s="61">
        <f t="shared" si="34"/>
        <v>2346920.35</v>
      </c>
      <c r="I84" s="61">
        <v>0</v>
      </c>
      <c r="J84" s="61">
        <f t="shared" si="35"/>
        <v>2346920.35</v>
      </c>
      <c r="K84" s="61">
        <f t="shared" si="23"/>
        <v>2346920.35</v>
      </c>
      <c r="L84" s="18">
        <v>1</v>
      </c>
      <c r="M84" s="67">
        <v>3</v>
      </c>
      <c r="N84" s="18">
        <f>SUM(L84:M84)</f>
        <v>4</v>
      </c>
      <c r="O84" s="68">
        <v>45371</v>
      </c>
      <c r="P84" s="69">
        <v>45735</v>
      </c>
      <c r="Q84" s="18" t="str">
        <f t="shared" si="24"/>
        <v>March</v>
      </c>
      <c r="R84" s="18">
        <f t="shared" si="25"/>
        <v>2024</v>
      </c>
      <c r="S84" s="18" t="s">
        <v>38</v>
      </c>
      <c r="T84" s="18" t="s">
        <v>135</v>
      </c>
      <c r="U84" s="18" t="s">
        <v>31</v>
      </c>
      <c r="V84" s="18"/>
      <c r="W84" s="79">
        <v>45369</v>
      </c>
      <c r="X84" s="18">
        <f ca="1" t="shared" si="36"/>
        <v>212</v>
      </c>
      <c r="Y84" s="18">
        <f t="shared" si="37"/>
        <v>2</v>
      </c>
      <c r="Z84" s="63">
        <f t="shared" si="26"/>
        <v>3</v>
      </c>
      <c r="AA84" t="str">
        <f t="shared" si="27"/>
        <v>Hares</v>
      </c>
    </row>
    <row r="85" ht="15.75" customHeight="1" spans="1:27">
      <c r="A85" s="18" t="s">
        <v>142</v>
      </c>
      <c r="B85" s="62" t="s">
        <v>87</v>
      </c>
      <c r="C85" s="60" t="s">
        <v>28</v>
      </c>
      <c r="D85" s="53" t="s">
        <v>65</v>
      </c>
      <c r="E85" s="61">
        <v>4936395</v>
      </c>
      <c r="F85" s="61">
        <f t="shared" si="33"/>
        <v>246819.75</v>
      </c>
      <c r="G85" s="61">
        <v>0</v>
      </c>
      <c r="H85" s="61">
        <f t="shared" si="34"/>
        <v>5183214.75</v>
      </c>
      <c r="I85" s="61">
        <f>180000+15000+2700+7500000+810000+145800</f>
        <v>8653500</v>
      </c>
      <c r="J85" s="61">
        <f t="shared" si="35"/>
        <v>13836714.75</v>
      </c>
      <c r="K85" s="61">
        <f t="shared" si="23"/>
        <v>432397.3359375</v>
      </c>
      <c r="L85" s="18">
        <v>32</v>
      </c>
      <c r="M85" s="67">
        <f>55-32</f>
        <v>23</v>
      </c>
      <c r="N85" s="18">
        <f>SUM(L85:M85)</f>
        <v>55</v>
      </c>
      <c r="O85" s="70">
        <v>45439</v>
      </c>
      <c r="P85" s="71">
        <v>45803</v>
      </c>
      <c r="Q85" s="18" t="str">
        <f t="shared" si="24"/>
        <v>May</v>
      </c>
      <c r="R85" s="18">
        <f t="shared" si="25"/>
        <v>2024</v>
      </c>
      <c r="S85" s="18" t="s">
        <v>38</v>
      </c>
      <c r="T85" s="18" t="s">
        <v>135</v>
      </c>
      <c r="U85" s="18" t="s">
        <v>31</v>
      </c>
      <c r="V85" s="18"/>
      <c r="W85" s="80">
        <v>45379</v>
      </c>
      <c r="X85" s="18">
        <f ca="1" t="shared" si="36"/>
        <v>144</v>
      </c>
      <c r="Y85" s="18">
        <f t="shared" si="37"/>
        <v>60</v>
      </c>
      <c r="Z85" s="63">
        <f t="shared" si="26"/>
        <v>0.72</v>
      </c>
      <c r="AA85" t="str">
        <f t="shared" si="27"/>
        <v>Tigers</v>
      </c>
    </row>
    <row r="86" ht="15.75" customHeight="1" spans="1:27">
      <c r="A86" s="18" t="s">
        <v>143</v>
      </c>
      <c r="B86" s="62" t="s">
        <v>87</v>
      </c>
      <c r="C86" s="60" t="s">
        <v>28</v>
      </c>
      <c r="D86" s="53" t="s">
        <v>65</v>
      </c>
      <c r="E86" s="61">
        <v>10810931</v>
      </c>
      <c r="F86" s="61">
        <f t="shared" si="33"/>
        <v>540546.55</v>
      </c>
      <c r="G86" s="61">
        <v>330000</v>
      </c>
      <c r="H86" s="61">
        <f t="shared" si="34"/>
        <v>11681477.55</v>
      </c>
      <c r="I86" s="61"/>
      <c r="J86" s="61">
        <f t="shared" si="35"/>
        <v>11681477.55</v>
      </c>
      <c r="K86" s="61">
        <f t="shared" si="23"/>
        <v>834391.253571429</v>
      </c>
      <c r="L86" s="18">
        <v>14</v>
      </c>
      <c r="M86" s="67">
        <v>19</v>
      </c>
      <c r="N86" s="18">
        <v>33</v>
      </c>
      <c r="O86" s="70">
        <v>45519</v>
      </c>
      <c r="P86" s="71">
        <v>45883</v>
      </c>
      <c r="Q86" s="18" t="str">
        <f t="shared" si="24"/>
        <v>August</v>
      </c>
      <c r="R86" s="18">
        <f t="shared" si="25"/>
        <v>2024</v>
      </c>
      <c r="S86" s="18" t="s">
        <v>34</v>
      </c>
      <c r="T86" s="18" t="s">
        <v>144</v>
      </c>
      <c r="U86" s="18"/>
      <c r="V86" s="18"/>
      <c r="W86" s="80">
        <v>45511</v>
      </c>
      <c r="X86" s="18">
        <f ca="1" t="shared" si="36"/>
        <v>64</v>
      </c>
      <c r="Y86" s="18">
        <f t="shared" si="37"/>
        <v>8</v>
      </c>
      <c r="Z86" s="63">
        <f t="shared" si="26"/>
        <v>1.36</v>
      </c>
      <c r="AA86" t="str">
        <f t="shared" si="27"/>
        <v>Hares</v>
      </c>
    </row>
    <row r="87" ht="15.75" customHeight="1" spans="1:27">
      <c r="A87" s="18" t="s">
        <v>145</v>
      </c>
      <c r="B87" s="18" t="s">
        <v>27</v>
      </c>
      <c r="C87" s="60" t="s">
        <v>28</v>
      </c>
      <c r="D87" s="60" t="s">
        <v>28</v>
      </c>
      <c r="E87" s="61">
        <v>3897152</v>
      </c>
      <c r="F87" s="61">
        <f t="shared" si="33"/>
        <v>194857.6</v>
      </c>
      <c r="G87" s="61">
        <v>70000</v>
      </c>
      <c r="H87" s="61">
        <f t="shared" si="34"/>
        <v>4162009.6</v>
      </c>
      <c r="I87" s="61">
        <v>0</v>
      </c>
      <c r="J87" s="61">
        <f t="shared" si="35"/>
        <v>4162009.6</v>
      </c>
      <c r="K87" s="61">
        <f t="shared" si="23"/>
        <v>594572.8</v>
      </c>
      <c r="L87" s="18">
        <v>7</v>
      </c>
      <c r="M87" s="67">
        <v>0</v>
      </c>
      <c r="N87" s="18">
        <f>SUM(L87:M87)</f>
        <v>7</v>
      </c>
      <c r="O87" s="68">
        <v>45426</v>
      </c>
      <c r="P87" s="69">
        <v>45790</v>
      </c>
      <c r="Q87" s="18" t="str">
        <f t="shared" si="24"/>
        <v>May</v>
      </c>
      <c r="R87" s="18">
        <f t="shared" si="25"/>
        <v>2024</v>
      </c>
      <c r="S87" s="18" t="s">
        <v>29</v>
      </c>
      <c r="T87" s="18" t="s">
        <v>146</v>
      </c>
      <c r="U87" s="18" t="s">
        <v>31</v>
      </c>
      <c r="V87" s="53" t="s">
        <v>147</v>
      </c>
      <c r="W87" s="79">
        <v>45411</v>
      </c>
      <c r="X87" s="18">
        <f ca="1" t="shared" si="36"/>
        <v>157</v>
      </c>
      <c r="Y87" s="18">
        <f t="shared" si="37"/>
        <v>15</v>
      </c>
      <c r="Z87" s="63">
        <f t="shared" si="26"/>
        <v>0</v>
      </c>
      <c r="AA87" t="str">
        <f t="shared" si="27"/>
        <v>Hares</v>
      </c>
    </row>
    <row r="88" ht="15.75" customHeight="1" spans="1:27">
      <c r="A88" s="18" t="s">
        <v>148</v>
      </c>
      <c r="B88" s="18" t="s">
        <v>27</v>
      </c>
      <c r="C88" s="60" t="s">
        <v>28</v>
      </c>
      <c r="D88" s="60" t="s">
        <v>28</v>
      </c>
      <c r="E88" s="61">
        <f>3751469+63432644</f>
        <v>67184113</v>
      </c>
      <c r="F88" s="61">
        <f t="shared" si="33"/>
        <v>3359205.65</v>
      </c>
      <c r="G88" s="61">
        <f>845000+45000</f>
        <v>890000</v>
      </c>
      <c r="H88" s="61">
        <f t="shared" si="34"/>
        <v>71433318.65</v>
      </c>
      <c r="I88" s="61">
        <v>0</v>
      </c>
      <c r="J88" s="61">
        <f t="shared" si="35"/>
        <v>71433318.65</v>
      </c>
      <c r="K88" s="61">
        <f t="shared" si="23"/>
        <v>830619.984302326</v>
      </c>
      <c r="L88" s="18">
        <v>86</v>
      </c>
      <c r="M88" s="67">
        <f>178-86</f>
        <v>92</v>
      </c>
      <c r="N88" s="18">
        <f>SUM(L88:M88)</f>
        <v>178</v>
      </c>
      <c r="O88" s="68">
        <v>45410</v>
      </c>
      <c r="P88" s="69">
        <v>45774</v>
      </c>
      <c r="Q88" s="18" t="str">
        <f t="shared" si="24"/>
        <v>April</v>
      </c>
      <c r="R88" s="18">
        <f t="shared" si="25"/>
        <v>2024</v>
      </c>
      <c r="S88" s="18" t="s">
        <v>34</v>
      </c>
      <c r="T88" s="18" t="s">
        <v>149</v>
      </c>
      <c r="U88" s="18"/>
      <c r="V88" s="18"/>
      <c r="W88" s="79">
        <v>45384</v>
      </c>
      <c r="X88" s="18">
        <f ca="1" t="shared" si="36"/>
        <v>173</v>
      </c>
      <c r="Y88" s="18">
        <f t="shared" si="37"/>
        <v>26</v>
      </c>
      <c r="Z88" s="63">
        <f t="shared" si="26"/>
        <v>1.07</v>
      </c>
      <c r="AA88" t="str">
        <f t="shared" si="27"/>
        <v>Tigers</v>
      </c>
    </row>
    <row r="89" ht="15.75" customHeight="1" spans="1:27">
      <c r="A89" s="62" t="s">
        <v>150</v>
      </c>
      <c r="B89" s="62" t="s">
        <v>27</v>
      </c>
      <c r="C89" s="60" t="s">
        <v>28</v>
      </c>
      <c r="D89" s="60" t="s">
        <v>28</v>
      </c>
      <c r="E89" s="64">
        <v>464822</v>
      </c>
      <c r="F89" s="61">
        <f t="shared" si="33"/>
        <v>23241.1</v>
      </c>
      <c r="G89" s="64">
        <v>10000</v>
      </c>
      <c r="H89" s="61">
        <f t="shared" si="34"/>
        <v>498063.1</v>
      </c>
      <c r="I89" s="64"/>
      <c r="J89" s="61">
        <f t="shared" si="35"/>
        <v>498063.1</v>
      </c>
      <c r="K89" s="61">
        <f t="shared" si="23"/>
        <v>498063.1</v>
      </c>
      <c r="L89" s="76">
        <v>1</v>
      </c>
      <c r="M89" s="77" t="s">
        <v>100</v>
      </c>
      <c r="N89" s="76">
        <v>1</v>
      </c>
      <c r="O89" s="70">
        <v>45468</v>
      </c>
      <c r="P89" s="71">
        <v>45832</v>
      </c>
      <c r="Q89" s="18" t="str">
        <f t="shared" si="24"/>
        <v>June</v>
      </c>
      <c r="R89" s="18">
        <f t="shared" si="25"/>
        <v>2024</v>
      </c>
      <c r="S89" s="62" t="s">
        <v>29</v>
      </c>
      <c r="T89" s="62" t="s">
        <v>151</v>
      </c>
      <c r="U89" s="18" t="s">
        <v>31</v>
      </c>
      <c r="V89" s="53" t="s">
        <v>139</v>
      </c>
      <c r="W89" s="80">
        <v>45455</v>
      </c>
      <c r="X89" s="18">
        <f ca="1" t="shared" si="36"/>
        <v>115</v>
      </c>
      <c r="Y89" s="18">
        <f t="shared" si="37"/>
        <v>13</v>
      </c>
      <c r="Z89" s="63" t="e">
        <f t="shared" si="26"/>
        <v>#VALUE!</v>
      </c>
      <c r="AA89" t="str">
        <f t="shared" si="27"/>
        <v>Hares</v>
      </c>
    </row>
    <row r="90" ht="15.75" customHeight="1" spans="1:27">
      <c r="A90" s="18" t="s">
        <v>152</v>
      </c>
      <c r="B90" s="62" t="s">
        <v>27</v>
      </c>
      <c r="C90" s="60" t="s">
        <v>28</v>
      </c>
      <c r="D90" s="60" t="s">
        <v>28</v>
      </c>
      <c r="E90" s="61">
        <v>2206440</v>
      </c>
      <c r="F90" s="61">
        <f t="shared" si="33"/>
        <v>110322</v>
      </c>
      <c r="G90" s="61">
        <v>40000</v>
      </c>
      <c r="H90" s="61">
        <f t="shared" si="34"/>
        <v>2356762</v>
      </c>
      <c r="I90" s="61">
        <v>0</v>
      </c>
      <c r="J90" s="61">
        <f t="shared" si="35"/>
        <v>2356762</v>
      </c>
      <c r="K90" s="61">
        <f t="shared" si="23"/>
        <v>2356762</v>
      </c>
      <c r="L90" s="18">
        <v>1</v>
      </c>
      <c r="M90" s="67">
        <v>3</v>
      </c>
      <c r="N90" s="18">
        <v>4</v>
      </c>
      <c r="O90" s="70">
        <v>45492</v>
      </c>
      <c r="P90" s="71">
        <v>45856</v>
      </c>
      <c r="Q90" s="18" t="str">
        <f t="shared" si="24"/>
        <v>July</v>
      </c>
      <c r="R90" s="18">
        <f t="shared" si="25"/>
        <v>2024</v>
      </c>
      <c r="S90" s="18" t="s">
        <v>29</v>
      </c>
      <c r="T90" s="18" t="s">
        <v>151</v>
      </c>
      <c r="U90" s="18" t="s">
        <v>31</v>
      </c>
      <c r="V90" s="53" t="s">
        <v>139</v>
      </c>
      <c r="W90" s="80">
        <v>45481</v>
      </c>
      <c r="X90" s="18">
        <f ca="1" t="shared" si="36"/>
        <v>91</v>
      </c>
      <c r="Y90" s="18">
        <f t="shared" si="37"/>
        <v>11</v>
      </c>
      <c r="Z90" s="63">
        <f t="shared" si="26"/>
        <v>3</v>
      </c>
      <c r="AA90" t="str">
        <f t="shared" si="27"/>
        <v>Hares</v>
      </c>
    </row>
    <row r="91" customHeight="1" spans="1:29">
      <c r="A91" s="18" t="s">
        <v>153</v>
      </c>
      <c r="B91" s="18" t="s">
        <v>27</v>
      </c>
      <c r="C91" s="60" t="s">
        <v>28</v>
      </c>
      <c r="D91" s="60" t="s">
        <v>28</v>
      </c>
      <c r="E91" s="61">
        <v>21256481</v>
      </c>
      <c r="F91" s="61">
        <f t="shared" si="33"/>
        <v>1062824.05</v>
      </c>
      <c r="G91" s="61">
        <v>590000</v>
      </c>
      <c r="H91" s="61">
        <f t="shared" si="34"/>
        <v>22909305.05</v>
      </c>
      <c r="I91" s="61">
        <v>0</v>
      </c>
      <c r="J91" s="61">
        <f t="shared" si="35"/>
        <v>22909305.05</v>
      </c>
      <c r="K91" s="61">
        <f t="shared" si="23"/>
        <v>1041332.04772727</v>
      </c>
      <c r="L91" s="18">
        <v>22</v>
      </c>
      <c r="M91" s="67">
        <v>37</v>
      </c>
      <c r="N91" s="18">
        <f>SUM(L91:M91)</f>
        <v>59</v>
      </c>
      <c r="O91" s="68">
        <v>45301</v>
      </c>
      <c r="P91" s="69">
        <v>45666</v>
      </c>
      <c r="Q91" s="18" t="str">
        <f t="shared" si="24"/>
        <v>January</v>
      </c>
      <c r="R91" s="18">
        <f t="shared" si="25"/>
        <v>2024</v>
      </c>
      <c r="S91" s="18" t="s">
        <v>34</v>
      </c>
      <c r="T91" s="18" t="s">
        <v>154</v>
      </c>
      <c r="U91" s="18"/>
      <c r="V91" s="18"/>
      <c r="W91" s="79">
        <v>45224</v>
      </c>
      <c r="X91" s="18">
        <f ca="1" t="shared" si="36"/>
        <v>282</v>
      </c>
      <c r="Y91" s="18">
        <f t="shared" si="37"/>
        <v>77</v>
      </c>
      <c r="Z91" s="63">
        <f t="shared" si="26"/>
        <v>1.68</v>
      </c>
      <c r="AA91" t="str">
        <f t="shared" si="27"/>
        <v>Hares</v>
      </c>
      <c r="AB91" s="16"/>
      <c r="AC91" s="16"/>
    </row>
    <row r="92" customHeight="1" spans="1:29">
      <c r="A92" s="18" t="s">
        <v>155</v>
      </c>
      <c r="B92" s="62" t="s">
        <v>27</v>
      </c>
      <c r="C92" s="60" t="s">
        <v>28</v>
      </c>
      <c r="D92" s="60" t="s">
        <v>28</v>
      </c>
      <c r="E92" s="61">
        <v>64200983</v>
      </c>
      <c r="F92" s="61">
        <f t="shared" si="33"/>
        <v>3210049.15</v>
      </c>
      <c r="G92" s="61">
        <v>790000</v>
      </c>
      <c r="H92" s="61">
        <f t="shared" si="34"/>
        <v>68201032.15</v>
      </c>
      <c r="I92" s="61">
        <v>0</v>
      </c>
      <c r="J92" s="61">
        <f t="shared" si="35"/>
        <v>68201032.15</v>
      </c>
      <c r="K92" s="61">
        <f t="shared" si="23"/>
        <v>885727.69025974</v>
      </c>
      <c r="L92" s="18">
        <v>77</v>
      </c>
      <c r="M92" s="67">
        <v>81</v>
      </c>
      <c r="N92" s="18">
        <f>SUM(L92:M92)</f>
        <v>158</v>
      </c>
      <c r="O92" s="70">
        <v>45489</v>
      </c>
      <c r="P92" s="71">
        <v>45853</v>
      </c>
      <c r="Q92" s="18" t="str">
        <f t="shared" si="24"/>
        <v>July</v>
      </c>
      <c r="R92" s="18">
        <f t="shared" si="25"/>
        <v>2024</v>
      </c>
      <c r="S92" s="18" t="s">
        <v>34</v>
      </c>
      <c r="T92" s="18" t="s">
        <v>154</v>
      </c>
      <c r="U92" s="18"/>
      <c r="V92" s="18"/>
      <c r="W92" s="80">
        <v>45475</v>
      </c>
      <c r="X92" s="18">
        <f ca="1" t="shared" si="36"/>
        <v>94</v>
      </c>
      <c r="Y92" s="18">
        <f t="shared" si="37"/>
        <v>14</v>
      </c>
      <c r="Z92" s="63">
        <f t="shared" si="26"/>
        <v>1.05</v>
      </c>
      <c r="AA92" t="str">
        <f t="shared" si="27"/>
        <v>Tigers</v>
      </c>
      <c r="AB92" s="16"/>
      <c r="AC92" s="16"/>
    </row>
    <row r="93" s="55" customFormat="1" ht="16.5" spans="1:27">
      <c r="A93" s="18" t="s">
        <v>116</v>
      </c>
      <c r="B93" s="18" t="s">
        <v>27</v>
      </c>
      <c r="C93" s="84" t="s">
        <v>28</v>
      </c>
      <c r="D93" s="84" t="s">
        <v>28</v>
      </c>
      <c r="E93" s="84">
        <v>22496088</v>
      </c>
      <c r="F93" s="84">
        <f t="shared" si="33"/>
        <v>1124804.4</v>
      </c>
      <c r="G93" s="84">
        <f>5000*57</f>
        <v>285000</v>
      </c>
      <c r="H93" s="85">
        <f t="shared" si="34"/>
        <v>23905892.4</v>
      </c>
      <c r="I93" s="84">
        <v>0</v>
      </c>
      <c r="J93" s="85">
        <f t="shared" ref="J93:J126" si="38">SUM(G93:H93)</f>
        <v>24190892.4</v>
      </c>
      <c r="K93" s="85">
        <f t="shared" si="23"/>
        <v>780351.367741935</v>
      </c>
      <c r="L93" s="18">
        <v>31</v>
      </c>
      <c r="M93" s="67">
        <f t="shared" ref="M93:M112" si="39">N93-L93</f>
        <v>17</v>
      </c>
      <c r="N93" s="18">
        <v>48</v>
      </c>
      <c r="O93" s="68">
        <v>44971</v>
      </c>
      <c r="P93" s="69">
        <v>45335</v>
      </c>
      <c r="Q93" s="84" t="str">
        <f t="shared" si="24"/>
        <v>February</v>
      </c>
      <c r="R93" s="87">
        <f t="shared" si="25"/>
        <v>2023</v>
      </c>
      <c r="S93" s="18" t="s">
        <v>29</v>
      </c>
      <c r="T93" s="88"/>
      <c r="U93" s="88"/>
      <c r="V93" s="88"/>
      <c r="W93" s="88"/>
      <c r="X93" s="88"/>
      <c r="Y93" s="88"/>
      <c r="Z93" s="89">
        <f t="shared" ref="Z93:Z126" si="40">M93/L93</f>
        <v>0.548387096774194</v>
      </c>
      <c r="AA93" t="str">
        <f t="shared" si="27"/>
        <v>Tigers</v>
      </c>
    </row>
    <row r="94" s="55" customFormat="1" ht="16.5" spans="1:27">
      <c r="A94" s="18" t="s">
        <v>156</v>
      </c>
      <c r="B94" s="18" t="s">
        <v>27</v>
      </c>
      <c r="C94" s="84" t="s">
        <v>28</v>
      </c>
      <c r="D94" s="84" t="s">
        <v>28</v>
      </c>
      <c r="E94" s="84">
        <v>8621293</v>
      </c>
      <c r="F94" s="84">
        <f t="shared" si="33"/>
        <v>431064.65</v>
      </c>
      <c r="G94" s="84">
        <v>480000</v>
      </c>
      <c r="H94" s="85">
        <f t="shared" si="34"/>
        <v>9532357.65</v>
      </c>
      <c r="I94" s="84">
        <v>0</v>
      </c>
      <c r="J94" s="85">
        <f t="shared" si="38"/>
        <v>10012357.65</v>
      </c>
      <c r="K94" s="85">
        <f t="shared" si="23"/>
        <v>208590.784375</v>
      </c>
      <c r="L94" s="18">
        <v>48</v>
      </c>
      <c r="M94" s="67">
        <f t="shared" si="39"/>
        <v>0</v>
      </c>
      <c r="N94" s="18">
        <v>48</v>
      </c>
      <c r="O94" s="68">
        <v>44987</v>
      </c>
      <c r="P94" s="69">
        <v>45077</v>
      </c>
      <c r="Q94" s="84" t="str">
        <f t="shared" si="24"/>
        <v>March</v>
      </c>
      <c r="R94" s="87">
        <f t="shared" si="25"/>
        <v>2023</v>
      </c>
      <c r="S94" s="18" t="s">
        <v>34</v>
      </c>
      <c r="T94" s="88"/>
      <c r="U94" s="88"/>
      <c r="V94" s="88"/>
      <c r="W94" s="88"/>
      <c r="X94" s="88"/>
      <c r="Y94" s="88"/>
      <c r="Z94" s="89">
        <f t="shared" si="40"/>
        <v>0</v>
      </c>
      <c r="AA94" t="str">
        <f t="shared" si="27"/>
        <v>Tigers</v>
      </c>
    </row>
    <row r="95" s="55" customFormat="1" ht="16.5" spans="1:27">
      <c r="A95" s="18" t="s">
        <v>118</v>
      </c>
      <c r="B95" s="18" t="s">
        <v>27</v>
      </c>
      <c r="C95" s="84" t="s">
        <v>28</v>
      </c>
      <c r="D95" s="84" t="s">
        <v>28</v>
      </c>
      <c r="E95" s="84">
        <v>40164891.8773136</v>
      </c>
      <c r="F95" s="84">
        <f t="shared" si="33"/>
        <v>2008244.59386568</v>
      </c>
      <c r="G95" s="84">
        <v>0</v>
      </c>
      <c r="H95" s="85">
        <f t="shared" si="34"/>
        <v>42173136.4711793</v>
      </c>
      <c r="I95" s="84">
        <v>0</v>
      </c>
      <c r="J95" s="85">
        <f t="shared" si="38"/>
        <v>42173136.4711793</v>
      </c>
      <c r="K95" s="85">
        <f t="shared" si="23"/>
        <v>980770.615608822</v>
      </c>
      <c r="L95" s="18">
        <v>43</v>
      </c>
      <c r="M95" s="67">
        <f t="shared" si="39"/>
        <v>90</v>
      </c>
      <c r="N95" s="18">
        <v>133</v>
      </c>
      <c r="O95" s="68">
        <v>44992</v>
      </c>
      <c r="P95" s="69">
        <v>45357</v>
      </c>
      <c r="Q95" s="84" t="str">
        <f t="shared" si="24"/>
        <v>March</v>
      </c>
      <c r="R95" s="87">
        <f t="shared" si="25"/>
        <v>2023</v>
      </c>
      <c r="S95" s="18" t="s">
        <v>29</v>
      </c>
      <c r="T95" s="88"/>
      <c r="U95" s="88"/>
      <c r="V95" s="88"/>
      <c r="W95" s="88"/>
      <c r="X95" s="88"/>
      <c r="Y95" s="88"/>
      <c r="Z95" s="89">
        <f t="shared" si="40"/>
        <v>2.09302325581395</v>
      </c>
      <c r="AA95" t="str">
        <f t="shared" si="27"/>
        <v>Tigers</v>
      </c>
    </row>
    <row r="96" s="55" customFormat="1" ht="16.5" spans="1:27">
      <c r="A96" s="18" t="s">
        <v>86</v>
      </c>
      <c r="B96" s="18" t="s">
        <v>27</v>
      </c>
      <c r="C96" s="84" t="s">
        <v>28</v>
      </c>
      <c r="D96" s="84" t="s">
        <v>28</v>
      </c>
      <c r="E96" s="84">
        <v>3790302</v>
      </c>
      <c r="F96" s="84">
        <f t="shared" si="33"/>
        <v>189515.1</v>
      </c>
      <c r="G96" s="84">
        <v>70000</v>
      </c>
      <c r="H96" s="85">
        <f t="shared" si="34"/>
        <v>4049817.1</v>
      </c>
      <c r="I96" s="84">
        <v>0</v>
      </c>
      <c r="J96" s="85">
        <f t="shared" si="38"/>
        <v>4119817.1</v>
      </c>
      <c r="K96" s="85">
        <f t="shared" si="23"/>
        <v>1029954.275</v>
      </c>
      <c r="L96" s="18">
        <v>4</v>
      </c>
      <c r="M96" s="67">
        <f t="shared" si="39"/>
        <v>3</v>
      </c>
      <c r="N96" s="18">
        <v>7</v>
      </c>
      <c r="O96" s="68">
        <v>45013</v>
      </c>
      <c r="P96" s="69">
        <v>45378</v>
      </c>
      <c r="Q96" s="84" t="str">
        <f t="shared" si="24"/>
        <v>March</v>
      </c>
      <c r="R96" s="87">
        <f t="shared" si="25"/>
        <v>2023</v>
      </c>
      <c r="S96" s="18" t="s">
        <v>29</v>
      </c>
      <c r="T96" s="88"/>
      <c r="U96" s="88"/>
      <c r="V96" s="88"/>
      <c r="W96" s="88"/>
      <c r="X96" s="88"/>
      <c r="Y96" s="88"/>
      <c r="Z96" s="89">
        <f t="shared" si="40"/>
        <v>0.75</v>
      </c>
      <c r="AA96" t="str">
        <f t="shared" si="27"/>
        <v>Hares</v>
      </c>
    </row>
    <row r="97" s="55" customFormat="1" ht="16.5" spans="1:27">
      <c r="A97" s="18" t="s">
        <v>157</v>
      </c>
      <c r="B97" s="18" t="s">
        <v>69</v>
      </c>
      <c r="C97" s="84" t="s">
        <v>28</v>
      </c>
      <c r="D97" s="84" t="s">
        <v>28</v>
      </c>
      <c r="E97" s="84">
        <f>136125+1949127</f>
        <v>2085252</v>
      </c>
      <c r="F97" s="84">
        <f t="shared" si="33"/>
        <v>104262.6</v>
      </c>
      <c r="G97" s="84">
        <v>90000</v>
      </c>
      <c r="H97" s="85">
        <f t="shared" si="34"/>
        <v>2279514.6</v>
      </c>
      <c r="I97" s="84">
        <f>288109+3687410</f>
        <v>3975519</v>
      </c>
      <c r="J97" s="85">
        <f t="shared" si="38"/>
        <v>2369514.6</v>
      </c>
      <c r="K97" s="85">
        <f t="shared" si="23"/>
        <v>148094.6625</v>
      </c>
      <c r="L97" s="18">
        <v>16</v>
      </c>
      <c r="M97" s="67">
        <f t="shared" si="39"/>
        <v>2</v>
      </c>
      <c r="N97" s="18">
        <v>18</v>
      </c>
      <c r="O97" s="68">
        <v>45030</v>
      </c>
      <c r="P97" s="69">
        <v>45395</v>
      </c>
      <c r="Q97" s="84" t="str">
        <f t="shared" si="24"/>
        <v>April</v>
      </c>
      <c r="R97" s="87">
        <f t="shared" si="25"/>
        <v>2023</v>
      </c>
      <c r="S97" s="18" t="s">
        <v>29</v>
      </c>
      <c r="T97" s="88"/>
      <c r="U97" s="88"/>
      <c r="V97" s="88"/>
      <c r="W97" s="88"/>
      <c r="X97" s="88"/>
      <c r="Y97" s="88"/>
      <c r="Z97" s="89">
        <f t="shared" si="40"/>
        <v>0.125</v>
      </c>
      <c r="AA97" t="str">
        <f t="shared" si="27"/>
        <v>Hares</v>
      </c>
    </row>
    <row r="98" s="55" customFormat="1" ht="16.5" spans="1:27">
      <c r="A98" s="18" t="s">
        <v>134</v>
      </c>
      <c r="B98" s="18" t="s">
        <v>27</v>
      </c>
      <c r="C98" s="84" t="s">
        <v>28</v>
      </c>
      <c r="D98" s="84" t="s">
        <v>28</v>
      </c>
      <c r="E98" s="84">
        <v>2284973</v>
      </c>
      <c r="F98" s="84">
        <f t="shared" si="33"/>
        <v>114248.65</v>
      </c>
      <c r="G98" s="84">
        <v>40000</v>
      </c>
      <c r="H98" s="85">
        <f t="shared" si="34"/>
        <v>2439221.65</v>
      </c>
      <c r="I98" s="84">
        <v>0</v>
      </c>
      <c r="J98" s="85">
        <f t="shared" si="38"/>
        <v>2479221.65</v>
      </c>
      <c r="K98" s="85">
        <f t="shared" si="23"/>
        <v>619805.4125</v>
      </c>
      <c r="L98" s="18">
        <v>4</v>
      </c>
      <c r="M98" s="67">
        <f t="shared" si="39"/>
        <v>0</v>
      </c>
      <c r="N98" s="18">
        <v>4</v>
      </c>
      <c r="O98" s="68">
        <v>45047</v>
      </c>
      <c r="P98" s="69">
        <v>45412</v>
      </c>
      <c r="Q98" s="84" t="str">
        <f t="shared" si="24"/>
        <v>May</v>
      </c>
      <c r="R98" s="87">
        <f t="shared" si="25"/>
        <v>2023</v>
      </c>
      <c r="S98" s="18" t="s">
        <v>38</v>
      </c>
      <c r="T98" s="88"/>
      <c r="U98" s="88"/>
      <c r="V98" s="88"/>
      <c r="W98" s="88"/>
      <c r="X98" s="88"/>
      <c r="Y98" s="88"/>
      <c r="Z98" s="89">
        <f t="shared" si="40"/>
        <v>0</v>
      </c>
      <c r="AA98" t="str">
        <f t="shared" si="27"/>
        <v>Hares</v>
      </c>
    </row>
    <row r="99" s="55" customFormat="1" ht="16.5" spans="1:27">
      <c r="A99" s="18" t="s">
        <v>142</v>
      </c>
      <c r="B99" s="18" t="s">
        <v>69</v>
      </c>
      <c r="C99" s="84" t="s">
        <v>28</v>
      </c>
      <c r="D99" s="84" t="s">
        <v>28</v>
      </c>
      <c r="E99" s="84">
        <f>4571851+156158</f>
        <v>4728009</v>
      </c>
      <c r="F99" s="84">
        <f t="shared" si="33"/>
        <v>236400.45</v>
      </c>
      <c r="G99" s="84">
        <f>485000</f>
        <v>485000</v>
      </c>
      <c r="H99" s="85">
        <f t="shared" si="34"/>
        <v>5449409.45</v>
      </c>
      <c r="I99" s="84">
        <v>6242034.55</v>
      </c>
      <c r="J99" s="85">
        <f t="shared" si="38"/>
        <v>5934409.45</v>
      </c>
      <c r="K99" s="85">
        <f t="shared" si="23"/>
        <v>169554.555714286</v>
      </c>
      <c r="L99" s="18">
        <v>35</v>
      </c>
      <c r="M99" s="67">
        <f t="shared" si="39"/>
        <v>62</v>
      </c>
      <c r="N99" s="18">
        <v>97</v>
      </c>
      <c r="O99" s="68">
        <v>45071</v>
      </c>
      <c r="P99" s="69">
        <v>45436</v>
      </c>
      <c r="Q99" s="84" t="str">
        <f t="shared" si="24"/>
        <v>May</v>
      </c>
      <c r="R99" s="87">
        <f t="shared" si="25"/>
        <v>2023</v>
      </c>
      <c r="S99" s="18" t="s">
        <v>38</v>
      </c>
      <c r="T99" s="88"/>
      <c r="U99" s="88"/>
      <c r="V99" s="88"/>
      <c r="W99" s="88"/>
      <c r="X99" s="88"/>
      <c r="Y99" s="88"/>
      <c r="Z99" s="89">
        <f t="shared" si="40"/>
        <v>1.77142857142857</v>
      </c>
      <c r="AA99" t="str">
        <f t="shared" si="27"/>
        <v>Tigers</v>
      </c>
    </row>
    <row r="100" s="55" customFormat="1" ht="16.5" spans="1:27">
      <c r="A100" s="18" t="s">
        <v>129</v>
      </c>
      <c r="B100" s="18" t="s">
        <v>27</v>
      </c>
      <c r="C100" s="84" t="s">
        <v>28</v>
      </c>
      <c r="D100" s="84" t="s">
        <v>28</v>
      </c>
      <c r="E100" s="84">
        <v>5876347</v>
      </c>
      <c r="F100" s="84">
        <f t="shared" si="33"/>
        <v>293817.35</v>
      </c>
      <c r="G100" s="84">
        <v>160000</v>
      </c>
      <c r="H100" s="85">
        <f t="shared" si="34"/>
        <v>6330164.35</v>
      </c>
      <c r="I100" s="84">
        <v>0</v>
      </c>
      <c r="J100" s="85">
        <f t="shared" si="38"/>
        <v>6490164.35</v>
      </c>
      <c r="K100" s="85">
        <f t="shared" si="23"/>
        <v>1298032.87</v>
      </c>
      <c r="L100" s="18">
        <v>5</v>
      </c>
      <c r="M100" s="67">
        <f t="shared" si="39"/>
        <v>11</v>
      </c>
      <c r="N100" s="18">
        <v>16</v>
      </c>
      <c r="O100" s="68">
        <v>45092</v>
      </c>
      <c r="P100" s="69">
        <v>45457</v>
      </c>
      <c r="Q100" s="84" t="str">
        <f t="shared" si="24"/>
        <v>June</v>
      </c>
      <c r="R100" s="87">
        <f t="shared" si="25"/>
        <v>2023</v>
      </c>
      <c r="S100" s="18" t="s">
        <v>34</v>
      </c>
      <c r="T100" s="88"/>
      <c r="U100" s="88"/>
      <c r="V100" s="88"/>
      <c r="W100" s="88"/>
      <c r="X100" s="88"/>
      <c r="Y100" s="88"/>
      <c r="Z100" s="89">
        <f t="shared" si="40"/>
        <v>2.2</v>
      </c>
      <c r="AA100" t="str">
        <f t="shared" si="27"/>
        <v>Hares</v>
      </c>
    </row>
    <row r="101" s="55" customFormat="1" ht="16.5" spans="1:27">
      <c r="A101" s="18" t="s">
        <v>158</v>
      </c>
      <c r="B101" s="18" t="s">
        <v>27</v>
      </c>
      <c r="C101" s="84" t="s">
        <v>28</v>
      </c>
      <c r="D101" s="84" t="s">
        <v>28</v>
      </c>
      <c r="E101" s="84">
        <v>20830183</v>
      </c>
      <c r="F101" s="84">
        <f t="shared" si="33"/>
        <v>1041509.15</v>
      </c>
      <c r="G101" s="84">
        <v>600000</v>
      </c>
      <c r="H101" s="85">
        <f t="shared" si="34"/>
        <v>22471692.15</v>
      </c>
      <c r="I101" s="84">
        <v>0</v>
      </c>
      <c r="J101" s="85">
        <f t="shared" si="38"/>
        <v>23071692.15</v>
      </c>
      <c r="K101" s="85">
        <f t="shared" si="23"/>
        <v>1153584.6075</v>
      </c>
      <c r="L101" s="18">
        <v>20</v>
      </c>
      <c r="M101" s="67">
        <f t="shared" si="39"/>
        <v>40</v>
      </c>
      <c r="N101" s="18">
        <v>60</v>
      </c>
      <c r="O101" s="68">
        <v>45095</v>
      </c>
      <c r="P101" s="69">
        <v>45460</v>
      </c>
      <c r="Q101" s="84" t="str">
        <f t="shared" si="24"/>
        <v>June</v>
      </c>
      <c r="R101" s="87">
        <f t="shared" si="25"/>
        <v>2023</v>
      </c>
      <c r="S101" s="18" t="s">
        <v>34</v>
      </c>
      <c r="T101" s="88"/>
      <c r="U101" s="88"/>
      <c r="V101" s="88"/>
      <c r="W101" s="88"/>
      <c r="X101" s="88"/>
      <c r="Y101" s="88"/>
      <c r="Z101" s="89">
        <f t="shared" si="40"/>
        <v>2</v>
      </c>
      <c r="AA101" t="str">
        <f t="shared" si="27"/>
        <v>Hares</v>
      </c>
    </row>
    <row r="102" s="55" customFormat="1" ht="16.5" spans="1:27">
      <c r="A102" s="18" t="s">
        <v>131</v>
      </c>
      <c r="B102" s="18" t="s">
        <v>27</v>
      </c>
      <c r="C102" s="84" t="s">
        <v>28</v>
      </c>
      <c r="D102" s="84" t="s">
        <v>28</v>
      </c>
      <c r="E102" s="84">
        <v>1983154</v>
      </c>
      <c r="F102" s="84">
        <f t="shared" si="33"/>
        <v>99157.7</v>
      </c>
      <c r="G102" s="84">
        <v>80000</v>
      </c>
      <c r="H102" s="85">
        <f t="shared" si="34"/>
        <v>2162311.7</v>
      </c>
      <c r="I102" s="84">
        <v>0</v>
      </c>
      <c r="J102" s="85">
        <f t="shared" si="38"/>
        <v>2242311.7</v>
      </c>
      <c r="K102" s="85">
        <f t="shared" si="23"/>
        <v>1121155.85</v>
      </c>
      <c r="L102" s="18">
        <v>2</v>
      </c>
      <c r="M102" s="67">
        <f t="shared" si="39"/>
        <v>6</v>
      </c>
      <c r="N102" s="18">
        <v>8</v>
      </c>
      <c r="O102" s="68">
        <v>45097</v>
      </c>
      <c r="P102" s="69">
        <v>45462</v>
      </c>
      <c r="Q102" s="84" t="str">
        <f t="shared" si="24"/>
        <v>June</v>
      </c>
      <c r="R102" s="87">
        <f t="shared" si="25"/>
        <v>2023</v>
      </c>
      <c r="S102" s="18" t="s">
        <v>34</v>
      </c>
      <c r="T102" s="88"/>
      <c r="U102" s="88"/>
      <c r="V102" s="88"/>
      <c r="W102" s="88"/>
      <c r="X102" s="88"/>
      <c r="Y102" s="88"/>
      <c r="Z102" s="89">
        <f t="shared" si="40"/>
        <v>3</v>
      </c>
      <c r="AA102" t="str">
        <f t="shared" si="27"/>
        <v>Hares</v>
      </c>
    </row>
    <row r="103" s="55" customFormat="1" ht="16.5" spans="1:27">
      <c r="A103" s="18" t="s">
        <v>159</v>
      </c>
      <c r="B103" s="18" t="s">
        <v>27</v>
      </c>
      <c r="C103" s="84" t="s">
        <v>28</v>
      </c>
      <c r="D103" s="84" t="s">
        <v>28</v>
      </c>
      <c r="E103" s="84">
        <v>464879</v>
      </c>
      <c r="F103" s="84">
        <f t="shared" si="33"/>
        <v>23243.95</v>
      </c>
      <c r="G103" s="84">
        <v>10000</v>
      </c>
      <c r="H103" s="85">
        <f t="shared" si="34"/>
        <v>498122.95</v>
      </c>
      <c r="I103" s="84">
        <v>0</v>
      </c>
      <c r="J103" s="85">
        <f t="shared" si="38"/>
        <v>508122.95</v>
      </c>
      <c r="K103" s="85">
        <f t="shared" si="23"/>
        <v>508122.95</v>
      </c>
      <c r="L103" s="18">
        <v>1</v>
      </c>
      <c r="M103" s="67">
        <f t="shared" si="39"/>
        <v>0</v>
      </c>
      <c r="N103" s="18">
        <v>1</v>
      </c>
      <c r="O103" s="68">
        <v>45114</v>
      </c>
      <c r="P103" s="69">
        <v>45479</v>
      </c>
      <c r="Q103" s="84" t="str">
        <f t="shared" si="24"/>
        <v>July</v>
      </c>
      <c r="R103" s="87">
        <f t="shared" si="25"/>
        <v>2023</v>
      </c>
      <c r="S103" s="18" t="s">
        <v>29</v>
      </c>
      <c r="T103" s="88"/>
      <c r="U103" s="88"/>
      <c r="V103" s="88"/>
      <c r="W103" s="88"/>
      <c r="X103" s="88"/>
      <c r="Y103" s="88"/>
      <c r="Z103" s="89">
        <f t="shared" si="40"/>
        <v>0</v>
      </c>
      <c r="AA103" t="str">
        <f t="shared" si="27"/>
        <v>Hares</v>
      </c>
    </row>
    <row r="104" s="55" customFormat="1" ht="16.5" spans="1:27">
      <c r="A104" s="18" t="s">
        <v>160</v>
      </c>
      <c r="B104" s="18" t="s">
        <v>27</v>
      </c>
      <c r="C104" s="84" t="s">
        <v>28</v>
      </c>
      <c r="D104" s="84" t="s">
        <v>28</v>
      </c>
      <c r="E104" s="84">
        <v>478944</v>
      </c>
      <c r="F104" s="84">
        <f t="shared" si="33"/>
        <v>23947.2</v>
      </c>
      <c r="G104" s="84">
        <v>10000</v>
      </c>
      <c r="H104" s="85">
        <f t="shared" si="34"/>
        <v>512891.2</v>
      </c>
      <c r="I104" s="84">
        <v>0</v>
      </c>
      <c r="J104" s="85">
        <f t="shared" si="38"/>
        <v>522891.2</v>
      </c>
      <c r="K104" s="85">
        <f t="shared" si="23"/>
        <v>522891.2</v>
      </c>
      <c r="L104" s="18">
        <v>1</v>
      </c>
      <c r="M104" s="67">
        <f t="shared" si="39"/>
        <v>0</v>
      </c>
      <c r="N104" s="18">
        <v>1</v>
      </c>
      <c r="O104" s="68">
        <v>45121</v>
      </c>
      <c r="P104" s="69">
        <v>45486</v>
      </c>
      <c r="Q104" s="84" t="str">
        <f t="shared" si="24"/>
        <v>July</v>
      </c>
      <c r="R104" s="87">
        <f t="shared" si="25"/>
        <v>2023</v>
      </c>
      <c r="S104" s="18" t="s">
        <v>29</v>
      </c>
      <c r="T104" s="88"/>
      <c r="U104" s="88"/>
      <c r="V104" s="88"/>
      <c r="W104" s="88"/>
      <c r="X104" s="88"/>
      <c r="Y104" s="88"/>
      <c r="Z104" s="89">
        <f t="shared" si="40"/>
        <v>0</v>
      </c>
      <c r="AA104" t="str">
        <f t="shared" si="27"/>
        <v>Hares</v>
      </c>
    </row>
    <row r="105" s="55" customFormat="1" ht="16.5" spans="1:27">
      <c r="A105" s="18" t="s">
        <v>136</v>
      </c>
      <c r="B105" s="18" t="s">
        <v>27</v>
      </c>
      <c r="C105" s="84" t="s">
        <v>28</v>
      </c>
      <c r="D105" s="84" t="s">
        <v>28</v>
      </c>
      <c r="E105" s="84">
        <v>18581056</v>
      </c>
      <c r="F105" s="84">
        <f t="shared" si="33"/>
        <v>929052.8</v>
      </c>
      <c r="G105" s="84">
        <v>240000</v>
      </c>
      <c r="H105" s="85">
        <f t="shared" si="34"/>
        <v>19750108.8</v>
      </c>
      <c r="I105" s="84">
        <v>0</v>
      </c>
      <c r="J105" s="85">
        <f t="shared" si="38"/>
        <v>19990108.8</v>
      </c>
      <c r="K105" s="85">
        <f t="shared" si="23"/>
        <v>1332673.92</v>
      </c>
      <c r="L105" s="18">
        <v>15</v>
      </c>
      <c r="M105" s="67">
        <f t="shared" si="39"/>
        <v>9</v>
      </c>
      <c r="N105" s="18">
        <v>24</v>
      </c>
      <c r="O105" s="68">
        <v>45129</v>
      </c>
      <c r="P105" s="69">
        <v>45494</v>
      </c>
      <c r="Q105" s="84" t="str">
        <f t="shared" si="24"/>
        <v>July</v>
      </c>
      <c r="R105" s="87">
        <f t="shared" si="25"/>
        <v>2023</v>
      </c>
      <c r="S105" s="18" t="s">
        <v>38</v>
      </c>
      <c r="T105" s="88"/>
      <c r="U105" s="88"/>
      <c r="V105" s="88"/>
      <c r="W105" s="88"/>
      <c r="X105" s="88"/>
      <c r="Y105" s="88"/>
      <c r="Z105" s="89">
        <f t="shared" si="40"/>
        <v>0.6</v>
      </c>
      <c r="AA105" t="str">
        <f t="shared" si="27"/>
        <v>Hares</v>
      </c>
    </row>
    <row r="106" s="55" customFormat="1" ht="16.5" spans="1:27">
      <c r="A106" s="18" t="s">
        <v>161</v>
      </c>
      <c r="B106" s="18" t="s">
        <v>27</v>
      </c>
      <c r="C106" s="84" t="s">
        <v>28</v>
      </c>
      <c r="D106" s="84" t="s">
        <v>28</v>
      </c>
      <c r="E106" s="84">
        <v>5862972</v>
      </c>
      <c r="F106" s="84">
        <f t="shared" si="33"/>
        <v>293148.6</v>
      </c>
      <c r="G106" s="84">
        <v>220000</v>
      </c>
      <c r="H106" s="85">
        <f t="shared" si="34"/>
        <v>6376120.6</v>
      </c>
      <c r="I106" s="84">
        <v>0</v>
      </c>
      <c r="J106" s="85">
        <f t="shared" si="38"/>
        <v>6596120.6</v>
      </c>
      <c r="K106" s="85">
        <f t="shared" si="23"/>
        <v>1099353.43333333</v>
      </c>
      <c r="L106" s="18">
        <v>6</v>
      </c>
      <c r="M106" s="67">
        <f t="shared" si="39"/>
        <v>16</v>
      </c>
      <c r="N106" s="18">
        <v>22</v>
      </c>
      <c r="O106" s="68">
        <v>45145</v>
      </c>
      <c r="P106" s="69">
        <v>45510</v>
      </c>
      <c r="Q106" s="84" t="str">
        <f t="shared" si="24"/>
        <v>August</v>
      </c>
      <c r="R106" s="87">
        <f t="shared" si="25"/>
        <v>2023</v>
      </c>
      <c r="S106" s="18" t="s">
        <v>34</v>
      </c>
      <c r="T106" s="88"/>
      <c r="U106" s="88"/>
      <c r="V106" s="88"/>
      <c r="W106" s="88"/>
      <c r="X106" s="88"/>
      <c r="Y106" s="88"/>
      <c r="Z106" s="89">
        <f t="shared" si="40"/>
        <v>2.66666666666667</v>
      </c>
      <c r="AA106" t="str">
        <f t="shared" si="27"/>
        <v>Hares</v>
      </c>
    </row>
    <row r="107" s="55" customFormat="1" ht="16.5" spans="1:27">
      <c r="A107" s="18" t="s">
        <v>162</v>
      </c>
      <c r="B107" s="18" t="s">
        <v>27</v>
      </c>
      <c r="C107" s="84" t="s">
        <v>28</v>
      </c>
      <c r="D107" s="84" t="s">
        <v>28</v>
      </c>
      <c r="E107" s="84">
        <v>544214</v>
      </c>
      <c r="F107" s="84">
        <f t="shared" si="33"/>
        <v>27210.7</v>
      </c>
      <c r="G107" s="84">
        <v>10000</v>
      </c>
      <c r="H107" s="85">
        <f t="shared" si="34"/>
        <v>581424.7</v>
      </c>
      <c r="I107" s="84">
        <v>0</v>
      </c>
      <c r="J107" s="85">
        <f t="shared" si="38"/>
        <v>591424.7</v>
      </c>
      <c r="K107" s="85">
        <f t="shared" si="23"/>
        <v>591424.7</v>
      </c>
      <c r="L107" s="18">
        <v>1</v>
      </c>
      <c r="M107" s="67">
        <f t="shared" si="39"/>
        <v>0</v>
      </c>
      <c r="N107" s="18">
        <v>1</v>
      </c>
      <c r="O107" s="68">
        <v>45149</v>
      </c>
      <c r="P107" s="69">
        <v>45514</v>
      </c>
      <c r="Q107" s="84" t="str">
        <f t="shared" si="24"/>
        <v>August</v>
      </c>
      <c r="R107" s="87">
        <f t="shared" si="25"/>
        <v>2023</v>
      </c>
      <c r="S107" s="18" t="s">
        <v>29</v>
      </c>
      <c r="T107" s="88"/>
      <c r="U107" s="88"/>
      <c r="V107" s="88"/>
      <c r="W107" s="88"/>
      <c r="X107" s="88"/>
      <c r="Y107" s="88"/>
      <c r="Z107" s="89">
        <f t="shared" si="40"/>
        <v>0</v>
      </c>
      <c r="AA107" t="str">
        <f t="shared" si="27"/>
        <v>Hares</v>
      </c>
    </row>
    <row r="108" s="55" customFormat="1" ht="16.5" spans="1:27">
      <c r="A108" s="18" t="s">
        <v>163</v>
      </c>
      <c r="B108" s="18" t="s">
        <v>27</v>
      </c>
      <c r="C108" s="84" t="s">
        <v>28</v>
      </c>
      <c r="D108" s="84" t="s">
        <v>28</v>
      </c>
      <c r="E108" s="84">
        <v>13176847</v>
      </c>
      <c r="F108" s="84">
        <f t="shared" si="33"/>
        <v>658842.35</v>
      </c>
      <c r="G108" s="84">
        <v>370000</v>
      </c>
      <c r="H108" s="85">
        <f t="shared" si="34"/>
        <v>14205689.35</v>
      </c>
      <c r="I108" s="84">
        <v>0</v>
      </c>
      <c r="J108" s="85">
        <f t="shared" si="38"/>
        <v>14575689.35</v>
      </c>
      <c r="K108" s="85">
        <f t="shared" si="23"/>
        <v>809760.519444444</v>
      </c>
      <c r="L108" s="18">
        <v>18</v>
      </c>
      <c r="M108" s="67">
        <f t="shared" si="39"/>
        <v>19</v>
      </c>
      <c r="N108" s="18">
        <v>37</v>
      </c>
      <c r="O108" s="68">
        <v>45153</v>
      </c>
      <c r="P108" s="69">
        <v>45518</v>
      </c>
      <c r="Q108" s="84" t="str">
        <f t="shared" si="24"/>
        <v>August</v>
      </c>
      <c r="R108" s="87">
        <f t="shared" si="25"/>
        <v>2023</v>
      </c>
      <c r="S108" s="18" t="s">
        <v>34</v>
      </c>
      <c r="T108" s="88"/>
      <c r="U108" s="88"/>
      <c r="V108" s="88"/>
      <c r="W108" s="88"/>
      <c r="X108" s="88"/>
      <c r="Y108" s="88"/>
      <c r="Z108" s="89">
        <f t="shared" si="40"/>
        <v>1.05555555555556</v>
      </c>
      <c r="AA108" t="str">
        <f t="shared" si="27"/>
        <v>Hares</v>
      </c>
    </row>
    <row r="109" s="55" customFormat="1" ht="16.5" spans="1:27">
      <c r="A109" s="18" t="s">
        <v>164</v>
      </c>
      <c r="B109" s="18" t="s">
        <v>27</v>
      </c>
      <c r="C109" s="84" t="s">
        <v>28</v>
      </c>
      <c r="D109" s="84" t="s">
        <v>28</v>
      </c>
      <c r="E109" s="84">
        <v>14687764</v>
      </c>
      <c r="F109" s="84">
        <f t="shared" si="33"/>
        <v>734388.2</v>
      </c>
      <c r="G109" s="84">
        <v>450000</v>
      </c>
      <c r="H109" s="85">
        <f t="shared" si="34"/>
        <v>15872152.2</v>
      </c>
      <c r="I109" s="84">
        <v>0</v>
      </c>
      <c r="J109" s="85">
        <f t="shared" si="38"/>
        <v>16322152.2</v>
      </c>
      <c r="K109" s="85">
        <f t="shared" si="23"/>
        <v>777245.342857143</v>
      </c>
      <c r="L109" s="18">
        <v>21</v>
      </c>
      <c r="M109" s="67">
        <f t="shared" si="39"/>
        <v>24</v>
      </c>
      <c r="N109" s="18">
        <v>45</v>
      </c>
      <c r="O109" s="68">
        <v>45170</v>
      </c>
      <c r="P109" s="69">
        <v>45535</v>
      </c>
      <c r="Q109" s="84" t="str">
        <f t="shared" si="24"/>
        <v>September</v>
      </c>
      <c r="R109" s="87">
        <f t="shared" si="25"/>
        <v>2023</v>
      </c>
      <c r="S109" s="18" t="s">
        <v>38</v>
      </c>
      <c r="T109" s="88"/>
      <c r="U109" s="88"/>
      <c r="V109" s="88"/>
      <c r="W109" s="88"/>
      <c r="X109" s="88"/>
      <c r="Y109" s="88"/>
      <c r="Z109" s="89">
        <f t="shared" si="40"/>
        <v>1.14285714285714</v>
      </c>
      <c r="AA109" t="str">
        <f t="shared" si="27"/>
        <v>Hares</v>
      </c>
    </row>
    <row r="110" s="55" customFormat="1" ht="16.5" spans="1:27">
      <c r="A110" s="18" t="s">
        <v>165</v>
      </c>
      <c r="B110" s="18" t="s">
        <v>27</v>
      </c>
      <c r="C110" s="84" t="s">
        <v>28</v>
      </c>
      <c r="D110" s="84" t="s">
        <v>28</v>
      </c>
      <c r="E110" s="84">
        <v>2669709</v>
      </c>
      <c r="F110" s="84">
        <f t="shared" si="33"/>
        <v>133485.45</v>
      </c>
      <c r="G110" s="84">
        <v>70000</v>
      </c>
      <c r="H110" s="85">
        <f t="shared" si="34"/>
        <v>2873194.45</v>
      </c>
      <c r="I110" s="84">
        <v>0</v>
      </c>
      <c r="J110" s="85">
        <f t="shared" si="38"/>
        <v>2943194.45</v>
      </c>
      <c r="K110" s="85">
        <f t="shared" si="23"/>
        <v>735798.6125</v>
      </c>
      <c r="L110" s="18">
        <v>4</v>
      </c>
      <c r="M110" s="67">
        <f t="shared" si="39"/>
        <v>3</v>
      </c>
      <c r="N110" s="18">
        <v>7</v>
      </c>
      <c r="O110" s="68">
        <v>45170</v>
      </c>
      <c r="P110" s="69">
        <v>45535</v>
      </c>
      <c r="Q110" s="84" t="str">
        <f t="shared" si="24"/>
        <v>September</v>
      </c>
      <c r="R110" s="87">
        <f t="shared" si="25"/>
        <v>2023</v>
      </c>
      <c r="S110" s="18" t="s">
        <v>29</v>
      </c>
      <c r="T110" s="88"/>
      <c r="U110" s="88"/>
      <c r="V110" s="88"/>
      <c r="W110" s="88"/>
      <c r="X110" s="88"/>
      <c r="Y110" s="88"/>
      <c r="Z110" s="89">
        <f t="shared" si="40"/>
        <v>0.75</v>
      </c>
      <c r="AA110" t="str">
        <f t="shared" si="27"/>
        <v>Hares</v>
      </c>
    </row>
    <row r="111" s="55" customFormat="1" ht="16.5" spans="1:27">
      <c r="A111" s="18" t="s">
        <v>166</v>
      </c>
      <c r="B111" s="18" t="s">
        <v>27</v>
      </c>
      <c r="C111" s="84" t="s">
        <v>28</v>
      </c>
      <c r="D111" s="84" t="s">
        <v>28</v>
      </c>
      <c r="E111" s="84">
        <f>16805892+305552290</f>
        <v>322358182</v>
      </c>
      <c r="F111" s="84">
        <f t="shared" si="33"/>
        <v>16117909.1</v>
      </c>
      <c r="G111" s="84">
        <f>2000000+320000</f>
        <v>2320000</v>
      </c>
      <c r="H111" s="85">
        <f t="shared" si="34"/>
        <v>340796091.1</v>
      </c>
      <c r="I111" s="84">
        <v>0</v>
      </c>
      <c r="J111" s="85">
        <f t="shared" si="38"/>
        <v>343116091.1</v>
      </c>
      <c r="K111" s="85">
        <f t="shared" si="23"/>
        <v>369737.167133621</v>
      </c>
      <c r="L111" s="18">
        <v>928</v>
      </c>
      <c r="M111" s="67">
        <f t="shared" si="39"/>
        <v>0</v>
      </c>
      <c r="N111" s="18">
        <v>928</v>
      </c>
      <c r="O111" s="68">
        <v>45170</v>
      </c>
      <c r="P111" s="69">
        <v>45535</v>
      </c>
      <c r="Q111" s="84" t="str">
        <f t="shared" si="24"/>
        <v>September</v>
      </c>
      <c r="R111" s="87">
        <f t="shared" si="25"/>
        <v>2023</v>
      </c>
      <c r="S111" s="18" t="s">
        <v>29</v>
      </c>
      <c r="T111" s="88"/>
      <c r="U111" s="88"/>
      <c r="V111" s="88"/>
      <c r="W111" s="88"/>
      <c r="X111" s="88"/>
      <c r="Y111" s="88"/>
      <c r="Z111" s="89">
        <f t="shared" si="40"/>
        <v>0</v>
      </c>
      <c r="AA111" t="str">
        <f t="shared" si="27"/>
        <v>Whales</v>
      </c>
    </row>
    <row r="112" s="55" customFormat="1" ht="16.5" spans="1:27">
      <c r="A112" s="18" t="s">
        <v>167</v>
      </c>
      <c r="B112" s="18" t="s">
        <v>27</v>
      </c>
      <c r="C112" s="84" t="s">
        <v>28</v>
      </c>
      <c r="D112" s="84" t="s">
        <v>28</v>
      </c>
      <c r="E112" s="84">
        <v>2763650</v>
      </c>
      <c r="F112" s="84">
        <f t="shared" si="33"/>
        <v>138182.5</v>
      </c>
      <c r="G112" s="84">
        <v>170000</v>
      </c>
      <c r="H112" s="85">
        <f t="shared" si="34"/>
        <v>3071832.5</v>
      </c>
      <c r="I112" s="84">
        <v>0</v>
      </c>
      <c r="J112" s="85">
        <f t="shared" si="38"/>
        <v>3241832.5</v>
      </c>
      <c r="K112" s="85">
        <f t="shared" si="23"/>
        <v>360203.611111111</v>
      </c>
      <c r="L112" s="18">
        <v>9</v>
      </c>
      <c r="M112" s="67">
        <f t="shared" si="39"/>
        <v>8</v>
      </c>
      <c r="N112" s="18">
        <v>17</v>
      </c>
      <c r="O112" s="68">
        <v>45194</v>
      </c>
      <c r="P112" s="69">
        <v>45559</v>
      </c>
      <c r="Q112" s="84" t="str">
        <f t="shared" si="24"/>
        <v>September</v>
      </c>
      <c r="R112" s="87">
        <f t="shared" si="25"/>
        <v>2023</v>
      </c>
      <c r="S112" s="18" t="s">
        <v>29</v>
      </c>
      <c r="T112" s="88"/>
      <c r="U112" s="88"/>
      <c r="V112" s="88"/>
      <c r="W112" s="88"/>
      <c r="X112" s="88"/>
      <c r="Y112" s="88"/>
      <c r="Z112" s="89">
        <f t="shared" si="40"/>
        <v>0.888888888888889</v>
      </c>
      <c r="AA112" t="str">
        <f t="shared" si="27"/>
        <v>Hares</v>
      </c>
    </row>
    <row r="113" s="55" customFormat="1" ht="16.5" spans="1:27">
      <c r="A113" s="18" t="s">
        <v>168</v>
      </c>
      <c r="B113" s="18" t="s">
        <v>27</v>
      </c>
      <c r="C113" s="84" t="s">
        <v>28</v>
      </c>
      <c r="D113" s="84" t="s">
        <v>28</v>
      </c>
      <c r="E113" s="84">
        <v>150324600</v>
      </c>
      <c r="F113" s="84">
        <f t="shared" si="33"/>
        <v>7516230</v>
      </c>
      <c r="G113" s="84">
        <v>1434000</v>
      </c>
      <c r="H113" s="85">
        <f t="shared" si="34"/>
        <v>159274830</v>
      </c>
      <c r="I113" s="84">
        <v>0</v>
      </c>
      <c r="J113" s="85">
        <f t="shared" si="38"/>
        <v>160708830</v>
      </c>
      <c r="K113" s="85">
        <f t="shared" si="23"/>
        <v>406857.797468354</v>
      </c>
      <c r="L113" s="18">
        <v>395</v>
      </c>
      <c r="M113" s="67">
        <v>395</v>
      </c>
      <c r="N113" s="18">
        <f>395+80</f>
        <v>475</v>
      </c>
      <c r="O113" s="68">
        <v>45204</v>
      </c>
      <c r="P113" s="69">
        <v>45569</v>
      </c>
      <c r="Q113" s="84" t="str">
        <f t="shared" si="24"/>
        <v>October</v>
      </c>
      <c r="R113" s="87">
        <f t="shared" si="25"/>
        <v>2023</v>
      </c>
      <c r="S113" s="18" t="s">
        <v>29</v>
      </c>
      <c r="T113" s="88"/>
      <c r="U113" s="88"/>
      <c r="V113" s="88"/>
      <c r="W113" s="88"/>
      <c r="X113" s="88"/>
      <c r="Y113" s="88"/>
      <c r="Z113" s="89">
        <f t="shared" si="40"/>
        <v>1</v>
      </c>
      <c r="AA113" t="str">
        <f t="shared" si="27"/>
        <v>Elephants</v>
      </c>
    </row>
    <row r="114" s="55" customFormat="1" ht="16.5" spans="1:27">
      <c r="A114" s="18" t="s">
        <v>169</v>
      </c>
      <c r="B114" s="18" t="s">
        <v>27</v>
      </c>
      <c r="C114" s="84" t="s">
        <v>28</v>
      </c>
      <c r="D114" s="84" t="s">
        <v>28</v>
      </c>
      <c r="E114" s="85">
        <v>1555168</v>
      </c>
      <c r="F114" s="85">
        <f t="shared" si="33"/>
        <v>77758.4</v>
      </c>
      <c r="G114" s="85">
        <v>30000</v>
      </c>
      <c r="H114" s="85">
        <f t="shared" si="34"/>
        <v>1662926.4</v>
      </c>
      <c r="I114" s="85">
        <v>0</v>
      </c>
      <c r="J114" s="85">
        <f t="shared" si="38"/>
        <v>1692926.4</v>
      </c>
      <c r="K114" s="85">
        <f t="shared" si="23"/>
        <v>1692926.4</v>
      </c>
      <c r="L114" s="18">
        <v>1</v>
      </c>
      <c r="M114" s="67">
        <f t="shared" ref="M114:M119" si="41">N114-L114</f>
        <v>2</v>
      </c>
      <c r="N114" s="18">
        <v>3</v>
      </c>
      <c r="O114" s="68">
        <v>45206</v>
      </c>
      <c r="P114" s="69">
        <v>45571</v>
      </c>
      <c r="Q114" s="84" t="str">
        <f t="shared" si="24"/>
        <v>October</v>
      </c>
      <c r="R114" s="87">
        <f t="shared" si="25"/>
        <v>2023</v>
      </c>
      <c r="S114" s="18" t="s">
        <v>29</v>
      </c>
      <c r="T114" s="88"/>
      <c r="U114" s="88"/>
      <c r="V114" s="88"/>
      <c r="W114" s="88"/>
      <c r="X114" s="88"/>
      <c r="Y114" s="88"/>
      <c r="Z114" s="89">
        <f t="shared" si="40"/>
        <v>2</v>
      </c>
      <c r="AA114" t="str">
        <f t="shared" si="27"/>
        <v>Hares</v>
      </c>
    </row>
    <row r="115" s="55" customFormat="1" ht="16.5" spans="1:27">
      <c r="A115" s="18" t="s">
        <v>170</v>
      </c>
      <c r="B115" s="18" t="s">
        <v>27</v>
      </c>
      <c r="C115" s="84" t="s">
        <v>28</v>
      </c>
      <c r="D115" s="84" t="s">
        <v>28</v>
      </c>
      <c r="E115" s="84">
        <v>23189154</v>
      </c>
      <c r="F115" s="84">
        <f t="shared" si="33"/>
        <v>1159457.7</v>
      </c>
      <c r="G115" s="84">
        <v>340000</v>
      </c>
      <c r="H115" s="85">
        <f t="shared" si="34"/>
        <v>24688611.7</v>
      </c>
      <c r="I115" s="84">
        <v>0</v>
      </c>
      <c r="J115" s="85">
        <f t="shared" si="38"/>
        <v>25028611.7</v>
      </c>
      <c r="K115" s="85">
        <f t="shared" si="23"/>
        <v>1251430.585</v>
      </c>
      <c r="L115" s="18">
        <v>20</v>
      </c>
      <c r="M115" s="67">
        <f t="shared" si="41"/>
        <v>48</v>
      </c>
      <c r="N115" s="18">
        <v>68</v>
      </c>
      <c r="O115" s="68">
        <v>45206</v>
      </c>
      <c r="P115" s="69">
        <v>45571</v>
      </c>
      <c r="Q115" s="84" t="str">
        <f t="shared" si="24"/>
        <v>October</v>
      </c>
      <c r="R115" s="87">
        <f t="shared" si="25"/>
        <v>2023</v>
      </c>
      <c r="S115" s="18" t="s">
        <v>38</v>
      </c>
      <c r="T115" s="88"/>
      <c r="U115" s="88"/>
      <c r="V115" s="88"/>
      <c r="W115" s="88"/>
      <c r="X115" s="88"/>
      <c r="Y115" s="88"/>
      <c r="Z115" s="90">
        <f t="shared" si="40"/>
        <v>2.4</v>
      </c>
      <c r="AA115" t="str">
        <f t="shared" si="27"/>
        <v>Hares</v>
      </c>
    </row>
    <row r="116" s="55" customFormat="1" ht="16.5" spans="1:27">
      <c r="A116" s="18" t="s">
        <v>171</v>
      </c>
      <c r="B116" s="18" t="s">
        <v>27</v>
      </c>
      <c r="C116" s="84" t="s">
        <v>28</v>
      </c>
      <c r="D116" s="84" t="s">
        <v>28</v>
      </c>
      <c r="E116" s="85">
        <v>1463279</v>
      </c>
      <c r="F116" s="85">
        <f t="shared" si="33"/>
        <v>73163.95</v>
      </c>
      <c r="G116" s="85">
        <v>40000</v>
      </c>
      <c r="H116" s="85">
        <f t="shared" si="34"/>
        <v>1576442.95</v>
      </c>
      <c r="I116" s="85">
        <v>0</v>
      </c>
      <c r="J116" s="85">
        <f t="shared" si="38"/>
        <v>1616442.95</v>
      </c>
      <c r="K116" s="85">
        <f t="shared" si="23"/>
        <v>1616442.95</v>
      </c>
      <c r="L116" s="18">
        <v>1</v>
      </c>
      <c r="M116" s="67">
        <f t="shared" si="41"/>
        <v>3</v>
      </c>
      <c r="N116" s="18">
        <v>4</v>
      </c>
      <c r="O116" s="68">
        <v>45218</v>
      </c>
      <c r="P116" s="69">
        <v>45583</v>
      </c>
      <c r="Q116" s="84" t="str">
        <f t="shared" si="24"/>
        <v>October</v>
      </c>
      <c r="R116" s="87">
        <f t="shared" si="25"/>
        <v>2023</v>
      </c>
      <c r="S116" s="18" t="s">
        <v>29</v>
      </c>
      <c r="T116" s="88"/>
      <c r="U116" s="88"/>
      <c r="V116" s="88"/>
      <c r="W116" s="88"/>
      <c r="X116" s="88"/>
      <c r="Y116" s="88"/>
      <c r="Z116" s="89">
        <f t="shared" si="40"/>
        <v>3</v>
      </c>
      <c r="AA116" t="str">
        <f t="shared" si="27"/>
        <v>Hares</v>
      </c>
    </row>
    <row r="117" s="55" customFormat="1" ht="16.5" spans="1:27">
      <c r="A117" s="18" t="s">
        <v>172</v>
      </c>
      <c r="B117" s="18" t="s">
        <v>27</v>
      </c>
      <c r="C117" s="84" t="s">
        <v>28</v>
      </c>
      <c r="D117" s="84" t="s">
        <v>28</v>
      </c>
      <c r="E117" s="85">
        <v>1888962</v>
      </c>
      <c r="F117" s="85">
        <f t="shared" si="33"/>
        <v>94448.1</v>
      </c>
      <c r="G117" s="85">
        <v>50000</v>
      </c>
      <c r="H117" s="85">
        <f t="shared" si="34"/>
        <v>2033410.1</v>
      </c>
      <c r="I117" s="85">
        <v>0</v>
      </c>
      <c r="J117" s="85">
        <f t="shared" si="38"/>
        <v>2083410.1</v>
      </c>
      <c r="K117" s="85">
        <f t="shared" si="23"/>
        <v>694470.033333333</v>
      </c>
      <c r="L117" s="18">
        <v>3</v>
      </c>
      <c r="M117" s="67">
        <f t="shared" si="41"/>
        <v>2</v>
      </c>
      <c r="N117" s="18">
        <v>5</v>
      </c>
      <c r="O117" s="68">
        <v>45223</v>
      </c>
      <c r="P117" s="69">
        <v>45588</v>
      </c>
      <c r="Q117" s="84" t="str">
        <f t="shared" si="24"/>
        <v>October</v>
      </c>
      <c r="R117" s="87">
        <f t="shared" si="25"/>
        <v>2023</v>
      </c>
      <c r="S117" s="18" t="s">
        <v>29</v>
      </c>
      <c r="T117" s="88"/>
      <c r="U117" s="88"/>
      <c r="V117" s="88"/>
      <c r="W117" s="88"/>
      <c r="X117" s="88"/>
      <c r="Y117" s="88"/>
      <c r="Z117" s="89">
        <f t="shared" si="40"/>
        <v>0.666666666666667</v>
      </c>
      <c r="AA117" t="str">
        <f t="shared" si="27"/>
        <v>Hares</v>
      </c>
    </row>
    <row r="118" s="55" customFormat="1" ht="16.5" spans="1:27">
      <c r="A118" s="18" t="s">
        <v>173</v>
      </c>
      <c r="B118" s="18" t="s">
        <v>27</v>
      </c>
      <c r="C118" s="84" t="s">
        <v>28</v>
      </c>
      <c r="D118" s="84" t="s">
        <v>28</v>
      </c>
      <c r="E118" s="85">
        <v>2468070</v>
      </c>
      <c r="F118" s="85">
        <f t="shared" si="33"/>
        <v>123403.5</v>
      </c>
      <c r="G118" s="85">
        <v>70000</v>
      </c>
      <c r="H118" s="85">
        <f t="shared" si="34"/>
        <v>2661473.5</v>
      </c>
      <c r="I118" s="85">
        <v>0</v>
      </c>
      <c r="J118" s="85">
        <f t="shared" si="38"/>
        <v>2731473.5</v>
      </c>
      <c r="K118" s="85">
        <f t="shared" si="23"/>
        <v>546294.7</v>
      </c>
      <c r="L118" s="18">
        <v>5</v>
      </c>
      <c r="M118" s="67">
        <f t="shared" si="41"/>
        <v>2</v>
      </c>
      <c r="N118" s="18">
        <v>7</v>
      </c>
      <c r="O118" s="68">
        <v>45224</v>
      </c>
      <c r="P118" s="69">
        <v>45589</v>
      </c>
      <c r="Q118" s="84" t="str">
        <f t="shared" si="24"/>
        <v>October</v>
      </c>
      <c r="R118" s="87">
        <f t="shared" si="25"/>
        <v>2023</v>
      </c>
      <c r="S118" s="18" t="s">
        <v>29</v>
      </c>
      <c r="T118" s="88"/>
      <c r="U118" s="88"/>
      <c r="V118" s="88"/>
      <c r="W118" s="88"/>
      <c r="X118" s="88"/>
      <c r="Y118" s="88"/>
      <c r="Z118" s="89">
        <f t="shared" si="40"/>
        <v>0.4</v>
      </c>
      <c r="AA118" t="str">
        <f t="shared" si="27"/>
        <v>Hares</v>
      </c>
    </row>
    <row r="119" s="55" customFormat="1" ht="16.5" spans="1:27">
      <c r="A119" s="18" t="s">
        <v>174</v>
      </c>
      <c r="B119" s="18" t="s">
        <v>27</v>
      </c>
      <c r="C119" s="84" t="s">
        <v>28</v>
      </c>
      <c r="D119" s="84" t="s">
        <v>28</v>
      </c>
      <c r="E119" s="85">
        <v>4823725</v>
      </c>
      <c r="F119" s="85">
        <f t="shared" si="33"/>
        <v>241186.25</v>
      </c>
      <c r="G119" s="85">
        <v>140000</v>
      </c>
      <c r="H119" s="85">
        <f t="shared" si="34"/>
        <v>5204911.25</v>
      </c>
      <c r="I119" s="85">
        <v>0</v>
      </c>
      <c r="J119" s="85">
        <f t="shared" si="38"/>
        <v>5344911.25</v>
      </c>
      <c r="K119" s="85">
        <f t="shared" si="23"/>
        <v>1336227.8125</v>
      </c>
      <c r="L119" s="18">
        <v>4</v>
      </c>
      <c r="M119" s="67">
        <f t="shared" si="41"/>
        <v>10</v>
      </c>
      <c r="N119" s="18">
        <v>14</v>
      </c>
      <c r="O119" s="68">
        <v>45230</v>
      </c>
      <c r="P119" s="69">
        <v>45595</v>
      </c>
      <c r="Q119" s="84" t="str">
        <f t="shared" si="24"/>
        <v>October</v>
      </c>
      <c r="R119" s="87">
        <f t="shared" si="25"/>
        <v>2023</v>
      </c>
      <c r="S119" s="18" t="s">
        <v>34</v>
      </c>
      <c r="T119" s="88"/>
      <c r="U119" s="88"/>
      <c r="V119" s="88"/>
      <c r="W119" s="88"/>
      <c r="X119" s="88"/>
      <c r="Y119" s="88"/>
      <c r="Z119" s="90">
        <f t="shared" si="40"/>
        <v>2.5</v>
      </c>
      <c r="AA119" t="str">
        <f t="shared" si="27"/>
        <v>Hares</v>
      </c>
    </row>
    <row r="120" s="55" customFormat="1" ht="16.5" spans="1:27">
      <c r="A120" s="18" t="s">
        <v>175</v>
      </c>
      <c r="B120" s="18" t="s">
        <v>27</v>
      </c>
      <c r="C120" s="84" t="s">
        <v>28</v>
      </c>
      <c r="D120" s="84" t="s">
        <v>28</v>
      </c>
      <c r="E120" s="85">
        <v>464822</v>
      </c>
      <c r="F120" s="85">
        <f t="shared" si="33"/>
        <v>23241.1</v>
      </c>
      <c r="G120" s="85">
        <v>10000</v>
      </c>
      <c r="H120" s="85">
        <f t="shared" si="34"/>
        <v>498063.1</v>
      </c>
      <c r="I120" s="85">
        <v>0</v>
      </c>
      <c r="J120" s="85">
        <f t="shared" si="38"/>
        <v>508063.1</v>
      </c>
      <c r="K120" s="86">
        <f t="shared" si="23"/>
        <v>508063.1</v>
      </c>
      <c r="L120" s="18">
        <v>1</v>
      </c>
      <c r="M120" s="67">
        <v>0</v>
      </c>
      <c r="N120" s="18">
        <v>1</v>
      </c>
      <c r="O120" s="68">
        <v>45244</v>
      </c>
      <c r="P120" s="69">
        <v>45243</v>
      </c>
      <c r="Q120" s="84" t="str">
        <f t="shared" si="24"/>
        <v>November</v>
      </c>
      <c r="R120" s="87">
        <f t="shared" si="25"/>
        <v>2023</v>
      </c>
      <c r="S120" s="18" t="s">
        <v>29</v>
      </c>
      <c r="T120" s="88"/>
      <c r="U120" s="88"/>
      <c r="V120" s="88"/>
      <c r="W120" s="88"/>
      <c r="X120" s="88"/>
      <c r="Y120" s="88"/>
      <c r="Z120" s="89">
        <f t="shared" si="40"/>
        <v>0</v>
      </c>
      <c r="AA120" t="str">
        <f t="shared" si="27"/>
        <v>Hares</v>
      </c>
    </row>
    <row r="121" s="55" customFormat="1" ht="16.5" spans="1:27">
      <c r="A121" s="18" t="s">
        <v>176</v>
      </c>
      <c r="B121" s="18" t="s">
        <v>27</v>
      </c>
      <c r="C121" s="84" t="s">
        <v>28</v>
      </c>
      <c r="D121" s="84" t="s">
        <v>28</v>
      </c>
      <c r="E121" s="85">
        <f>10019094+2178144</f>
        <v>12197238</v>
      </c>
      <c r="F121" s="85">
        <f t="shared" si="33"/>
        <v>609861.9</v>
      </c>
      <c r="G121" s="85">
        <f>60000+280000</f>
        <v>340000</v>
      </c>
      <c r="H121" s="85">
        <f t="shared" si="34"/>
        <v>13147099.9</v>
      </c>
      <c r="I121" s="85">
        <v>0</v>
      </c>
      <c r="J121" s="85">
        <f t="shared" si="38"/>
        <v>13487099.9</v>
      </c>
      <c r="K121" s="85">
        <f t="shared" si="23"/>
        <v>899139.993333333</v>
      </c>
      <c r="L121" s="18">
        <v>15</v>
      </c>
      <c r="M121" s="67">
        <v>19</v>
      </c>
      <c r="N121" s="18">
        <f>SUM(L121:M121)</f>
        <v>34</v>
      </c>
      <c r="O121" s="68">
        <v>45246</v>
      </c>
      <c r="P121" s="69">
        <v>45245</v>
      </c>
      <c r="Q121" s="84" t="str">
        <f t="shared" si="24"/>
        <v>November</v>
      </c>
      <c r="R121" s="87">
        <f t="shared" si="25"/>
        <v>2023</v>
      </c>
      <c r="S121" s="18" t="s">
        <v>29</v>
      </c>
      <c r="T121" s="88"/>
      <c r="U121" s="88"/>
      <c r="V121" s="88"/>
      <c r="W121" s="88"/>
      <c r="X121" s="88"/>
      <c r="Y121" s="88"/>
      <c r="Z121" s="89">
        <f t="shared" si="40"/>
        <v>1.26666666666667</v>
      </c>
      <c r="AA121" t="str">
        <f t="shared" si="27"/>
        <v>Hares</v>
      </c>
    </row>
    <row r="122" s="55" customFormat="1" ht="16.5" spans="1:27">
      <c r="A122" s="18" t="s">
        <v>177</v>
      </c>
      <c r="B122" s="18" t="s">
        <v>27</v>
      </c>
      <c r="C122" s="84" t="s">
        <v>28</v>
      </c>
      <c r="D122" s="84" t="s">
        <v>28</v>
      </c>
      <c r="E122" s="85">
        <v>1150690</v>
      </c>
      <c r="F122" s="85">
        <f t="shared" si="33"/>
        <v>57534.5</v>
      </c>
      <c r="G122" s="85">
        <v>30000</v>
      </c>
      <c r="H122" s="85">
        <f t="shared" si="34"/>
        <v>1238224.5</v>
      </c>
      <c r="I122" s="85">
        <v>0</v>
      </c>
      <c r="J122" s="85">
        <f t="shared" si="38"/>
        <v>1268224.5</v>
      </c>
      <c r="K122" s="85">
        <f t="shared" si="23"/>
        <v>1268224.5</v>
      </c>
      <c r="L122" s="18">
        <v>1</v>
      </c>
      <c r="M122" s="67">
        <v>2</v>
      </c>
      <c r="N122" s="18">
        <v>3</v>
      </c>
      <c r="O122" s="68">
        <v>45247</v>
      </c>
      <c r="P122" s="69">
        <v>45246</v>
      </c>
      <c r="Q122" s="84" t="str">
        <f t="shared" si="24"/>
        <v>November</v>
      </c>
      <c r="R122" s="87">
        <f t="shared" si="25"/>
        <v>2023</v>
      </c>
      <c r="S122" s="18" t="s">
        <v>29</v>
      </c>
      <c r="T122" s="88"/>
      <c r="U122" s="88"/>
      <c r="V122" s="88"/>
      <c r="W122" s="88"/>
      <c r="X122" s="88"/>
      <c r="Y122" s="88"/>
      <c r="Z122" s="89">
        <f t="shared" si="40"/>
        <v>2</v>
      </c>
      <c r="AA122" t="str">
        <f t="shared" si="27"/>
        <v>Hares</v>
      </c>
    </row>
    <row r="123" s="55" customFormat="1" ht="16.5" spans="1:27">
      <c r="A123" s="18" t="s">
        <v>178</v>
      </c>
      <c r="B123" s="18" t="s">
        <v>27</v>
      </c>
      <c r="C123" s="84" t="s">
        <v>28</v>
      </c>
      <c r="D123" s="84" t="s">
        <v>28</v>
      </c>
      <c r="E123" s="85">
        <v>620086</v>
      </c>
      <c r="F123" s="85">
        <f t="shared" si="33"/>
        <v>31004.3</v>
      </c>
      <c r="G123" s="85">
        <v>10000</v>
      </c>
      <c r="H123" s="85">
        <f t="shared" si="34"/>
        <v>661090.3</v>
      </c>
      <c r="I123" s="85">
        <v>0</v>
      </c>
      <c r="J123" s="85">
        <f t="shared" si="38"/>
        <v>671090.3</v>
      </c>
      <c r="K123" s="85">
        <f t="shared" si="23"/>
        <v>671090.3</v>
      </c>
      <c r="L123" s="18">
        <v>1</v>
      </c>
      <c r="M123" s="67">
        <v>0</v>
      </c>
      <c r="N123" s="18">
        <v>1</v>
      </c>
      <c r="O123" s="68">
        <v>45254</v>
      </c>
      <c r="P123" s="69">
        <v>45253</v>
      </c>
      <c r="Q123" s="84" t="str">
        <f t="shared" si="24"/>
        <v>November</v>
      </c>
      <c r="R123" s="87">
        <f t="shared" si="25"/>
        <v>2023</v>
      </c>
      <c r="S123" s="18" t="s">
        <v>29</v>
      </c>
      <c r="T123" s="88"/>
      <c r="U123" s="88"/>
      <c r="V123" s="88"/>
      <c r="W123" s="88"/>
      <c r="X123" s="88"/>
      <c r="Y123" s="88"/>
      <c r="Z123" s="89">
        <f t="shared" si="40"/>
        <v>0</v>
      </c>
      <c r="AA123" t="str">
        <f t="shared" si="27"/>
        <v>Hares</v>
      </c>
    </row>
    <row r="124" s="55" customFormat="1" ht="16.5" spans="1:27">
      <c r="A124" s="18" t="s">
        <v>179</v>
      </c>
      <c r="B124" s="18" t="s">
        <v>27</v>
      </c>
      <c r="C124" s="84" t="s">
        <v>28</v>
      </c>
      <c r="D124" s="84" t="s">
        <v>28</v>
      </c>
      <c r="E124" s="85">
        <f>2732418+1515425</f>
        <v>4247843</v>
      </c>
      <c r="F124" s="85">
        <f t="shared" si="33"/>
        <v>212392.15</v>
      </c>
      <c r="G124" s="85">
        <f>60000+70000</f>
        <v>130000</v>
      </c>
      <c r="H124" s="85">
        <f t="shared" si="34"/>
        <v>4590235.15</v>
      </c>
      <c r="I124" s="85">
        <v>0</v>
      </c>
      <c r="J124" s="85">
        <f t="shared" si="38"/>
        <v>4720235.15</v>
      </c>
      <c r="K124" s="85">
        <f t="shared" si="23"/>
        <v>944047.03</v>
      </c>
      <c r="L124" s="18">
        <v>5</v>
      </c>
      <c r="M124" s="67">
        <v>8</v>
      </c>
      <c r="N124" s="18">
        <f>13</f>
        <v>13</v>
      </c>
      <c r="O124" s="68">
        <v>45272</v>
      </c>
      <c r="P124" s="69">
        <v>45271</v>
      </c>
      <c r="Q124" s="84" t="str">
        <f t="shared" si="24"/>
        <v>December</v>
      </c>
      <c r="R124" s="87">
        <f t="shared" si="25"/>
        <v>2023</v>
      </c>
      <c r="S124" s="18" t="s">
        <v>29</v>
      </c>
      <c r="T124" s="88"/>
      <c r="U124" s="88"/>
      <c r="V124" s="88"/>
      <c r="W124" s="88"/>
      <c r="X124" s="88"/>
      <c r="Y124" s="88"/>
      <c r="Z124" s="89">
        <f t="shared" si="40"/>
        <v>1.6</v>
      </c>
      <c r="AA124" t="str">
        <f t="shared" si="27"/>
        <v>Hares</v>
      </c>
    </row>
    <row r="125" s="55" customFormat="1" ht="16.5" spans="1:27">
      <c r="A125" s="18" t="s">
        <v>180</v>
      </c>
      <c r="B125" s="18" t="s">
        <v>27</v>
      </c>
      <c r="C125" s="84" t="s">
        <v>28</v>
      </c>
      <c r="D125" s="84" t="s">
        <v>28</v>
      </c>
      <c r="E125" s="85">
        <v>457803</v>
      </c>
      <c r="F125" s="85">
        <f t="shared" si="33"/>
        <v>22890.15</v>
      </c>
      <c r="G125" s="85">
        <v>10000</v>
      </c>
      <c r="H125" s="85">
        <f t="shared" si="34"/>
        <v>490693.15</v>
      </c>
      <c r="I125" s="85">
        <v>0</v>
      </c>
      <c r="J125" s="85">
        <f t="shared" si="38"/>
        <v>500693.15</v>
      </c>
      <c r="K125" s="85">
        <f t="shared" si="23"/>
        <v>500693.15</v>
      </c>
      <c r="L125" s="18">
        <v>1</v>
      </c>
      <c r="M125" s="67">
        <v>0</v>
      </c>
      <c r="N125" s="18">
        <v>1</v>
      </c>
      <c r="O125" s="68">
        <v>45273</v>
      </c>
      <c r="P125" s="69">
        <v>45272</v>
      </c>
      <c r="Q125" s="84" t="str">
        <f t="shared" si="24"/>
        <v>December</v>
      </c>
      <c r="R125" s="87">
        <f t="shared" si="25"/>
        <v>2023</v>
      </c>
      <c r="S125" s="18" t="s">
        <v>29</v>
      </c>
      <c r="T125" s="88"/>
      <c r="U125" s="88"/>
      <c r="V125" s="88"/>
      <c r="W125" s="88"/>
      <c r="X125" s="88"/>
      <c r="Y125" s="88"/>
      <c r="Z125" s="89">
        <f t="shared" si="40"/>
        <v>0</v>
      </c>
      <c r="AA125" t="str">
        <f t="shared" si="27"/>
        <v>Hares</v>
      </c>
    </row>
    <row r="126" s="55" customFormat="1" ht="16.5" spans="1:27">
      <c r="A126" s="18" t="s">
        <v>181</v>
      </c>
      <c r="B126" s="18" t="s">
        <v>27</v>
      </c>
      <c r="C126" s="84" t="s">
        <v>28</v>
      </c>
      <c r="D126" s="84" t="s">
        <v>28</v>
      </c>
      <c r="E126" s="85">
        <v>15702822</v>
      </c>
      <c r="F126" s="85">
        <f t="shared" si="33"/>
        <v>785141.1</v>
      </c>
      <c r="G126" s="85">
        <v>300000</v>
      </c>
      <c r="H126" s="85">
        <f t="shared" si="34"/>
        <v>16787963.1</v>
      </c>
      <c r="I126" s="85">
        <v>0</v>
      </c>
      <c r="J126" s="85">
        <f t="shared" si="38"/>
        <v>17087963.1</v>
      </c>
      <c r="K126" s="85">
        <f t="shared" si="23"/>
        <v>1553451.19090909</v>
      </c>
      <c r="L126" s="18">
        <v>11</v>
      </c>
      <c r="M126" s="67">
        <v>19</v>
      </c>
      <c r="N126" s="18">
        <f>L126+M126</f>
        <v>30</v>
      </c>
      <c r="O126" s="68">
        <v>45287</v>
      </c>
      <c r="P126" s="69">
        <v>45286</v>
      </c>
      <c r="Q126" s="84" t="str">
        <f t="shared" si="24"/>
        <v>December</v>
      </c>
      <c r="R126" s="87">
        <f t="shared" si="25"/>
        <v>2023</v>
      </c>
      <c r="S126" s="18" t="s">
        <v>34</v>
      </c>
      <c r="T126" s="88"/>
      <c r="U126" s="88"/>
      <c r="V126" s="88"/>
      <c r="W126" s="88"/>
      <c r="X126" s="88"/>
      <c r="Y126" s="88"/>
      <c r="Z126" s="89">
        <f t="shared" si="40"/>
        <v>1.72727272727273</v>
      </c>
      <c r="AA126" t="str">
        <f t="shared" si="27"/>
        <v>Hares</v>
      </c>
    </row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</sheetData>
  <autoFilter ref="A2:AE126">
    <sortState ref="A2:AE126">
      <sortCondition ref="O2:O90"/>
    </sortState>
    <extLst/>
  </autoFilter>
  <sortState ref="A3:AA1054">
    <sortCondition ref="T1:T1054"/>
  </sortState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B14" sqref="B14"/>
    </sheetView>
  </sheetViews>
  <sheetFormatPr defaultColWidth="9" defaultRowHeight="15" outlineLevelCol="2"/>
  <cols>
    <col min="1" max="1" width="30" style="51" customWidth="1"/>
    <col min="2" max="2" width="10.8571428571429" style="51" customWidth="1"/>
    <col min="3" max="3" width="16" style="51" customWidth="1"/>
    <col min="4" max="16384" width="9.14285714285714" style="51"/>
  </cols>
  <sheetData>
    <row r="1" spans="1:3">
      <c r="A1" s="52" t="s">
        <v>21</v>
      </c>
      <c r="B1" s="52" t="s">
        <v>3</v>
      </c>
      <c r="C1" s="52" t="s">
        <v>182</v>
      </c>
    </row>
    <row r="2" spans="1:3">
      <c r="A2" s="53" t="s">
        <v>183</v>
      </c>
      <c r="B2" s="53" t="s">
        <v>65</v>
      </c>
      <c r="C2" s="54">
        <v>119881450</v>
      </c>
    </row>
    <row r="3" spans="1:3">
      <c r="A3" s="53" t="s">
        <v>183</v>
      </c>
      <c r="B3" s="53" t="s">
        <v>28</v>
      </c>
      <c r="C3" s="54">
        <v>600000000</v>
      </c>
    </row>
    <row r="4" spans="1:3">
      <c r="A4" s="53" t="s">
        <v>183</v>
      </c>
      <c r="B4" s="53" t="s">
        <v>45</v>
      </c>
      <c r="C4" s="54">
        <v>400000000</v>
      </c>
    </row>
    <row r="5" spans="1:3">
      <c r="A5" s="53" t="s">
        <v>115</v>
      </c>
      <c r="B5" s="53" t="s">
        <v>65</v>
      </c>
      <c r="C5" s="54">
        <v>119881450</v>
      </c>
    </row>
    <row r="6" spans="1:3">
      <c r="A6" s="53" t="s">
        <v>115</v>
      </c>
      <c r="B6" s="53" t="s">
        <v>28</v>
      </c>
      <c r="C6" s="54">
        <v>1200000000</v>
      </c>
    </row>
    <row r="7" spans="1:3">
      <c r="A7" s="53" t="s">
        <v>115</v>
      </c>
      <c r="B7" s="53" t="s">
        <v>45</v>
      </c>
      <c r="C7" s="54">
        <v>500000000</v>
      </c>
    </row>
    <row r="8" spans="1:3">
      <c r="A8" s="53" t="s">
        <v>147</v>
      </c>
      <c r="B8" s="53" t="s">
        <v>65</v>
      </c>
      <c r="C8" s="54">
        <v>119881450</v>
      </c>
    </row>
    <row r="9" spans="1:3">
      <c r="A9" s="53" t="s">
        <v>147</v>
      </c>
      <c r="B9" s="53" t="s">
        <v>28</v>
      </c>
      <c r="C9" s="54">
        <v>1200000000</v>
      </c>
    </row>
    <row r="10" spans="1:3">
      <c r="A10" s="53" t="s">
        <v>147</v>
      </c>
      <c r="B10" s="53" t="s">
        <v>45</v>
      </c>
      <c r="C10" s="54">
        <v>500000000</v>
      </c>
    </row>
    <row r="11" spans="1:3">
      <c r="A11" s="53" t="s">
        <v>52</v>
      </c>
      <c r="B11" s="53" t="s">
        <v>65</v>
      </c>
      <c r="C11" s="54">
        <v>119881450</v>
      </c>
    </row>
    <row r="12" spans="1:3">
      <c r="A12" s="53" t="s">
        <v>52</v>
      </c>
      <c r="B12" s="53" t="s">
        <v>28</v>
      </c>
      <c r="C12" s="54">
        <v>1200000000</v>
      </c>
    </row>
    <row r="13" spans="1:3">
      <c r="A13" s="53" t="s">
        <v>52</v>
      </c>
      <c r="B13" s="53" t="s">
        <v>45</v>
      </c>
      <c r="C13" s="54">
        <v>200000000</v>
      </c>
    </row>
    <row r="14" spans="1:3">
      <c r="A14" s="53" t="s">
        <v>139</v>
      </c>
      <c r="B14" s="53" t="s">
        <v>65</v>
      </c>
      <c r="C14" s="54">
        <v>119881450</v>
      </c>
    </row>
    <row r="15" spans="1:3">
      <c r="A15" s="53" t="s">
        <v>139</v>
      </c>
      <c r="B15" s="53" t="s">
        <v>28</v>
      </c>
      <c r="C15" s="54">
        <v>1050000000</v>
      </c>
    </row>
    <row r="16" spans="1:3">
      <c r="A16" s="53" t="s">
        <v>139</v>
      </c>
      <c r="B16" s="53" t="s">
        <v>45</v>
      </c>
      <c r="C16" s="54">
        <v>200000000</v>
      </c>
    </row>
    <row r="17" spans="1:3">
      <c r="A17" s="53" t="s">
        <v>32</v>
      </c>
      <c r="B17" s="53" t="s">
        <v>65</v>
      </c>
      <c r="C17" s="54">
        <v>119881450</v>
      </c>
    </row>
    <row r="18" spans="1:3">
      <c r="A18" s="53" t="s">
        <v>32</v>
      </c>
      <c r="B18" s="53" t="s">
        <v>28</v>
      </c>
      <c r="C18" s="54">
        <v>1050000000</v>
      </c>
    </row>
    <row r="19" spans="1:3">
      <c r="A19" s="53" t="s">
        <v>32</v>
      </c>
      <c r="B19" s="53" t="s">
        <v>45</v>
      </c>
      <c r="C19" s="54">
        <v>200000000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27"/>
  <sheetViews>
    <sheetView topLeftCell="C1" workbookViewId="0">
      <selection activeCell="D198" sqref="D$1:D$1048576"/>
    </sheetView>
  </sheetViews>
  <sheetFormatPr defaultColWidth="14.4285714285714" defaultRowHeight="15" customHeight="1"/>
  <cols>
    <col min="1" max="1" width="49.5714285714286" customWidth="1"/>
    <col min="2" max="2" width="39.7142857142857" customWidth="1"/>
    <col min="3" max="3" width="42.8571428571429" customWidth="1"/>
    <col min="4" max="4" width="13.1428571428571" style="23" customWidth="1"/>
    <col min="5" max="5" width="13.1428571428571" customWidth="1"/>
    <col min="6" max="6" width="13.4285714285714" customWidth="1"/>
    <col min="7" max="7" width="22.8571428571429" customWidth="1"/>
    <col min="8" max="8" width="8.71428571428571" customWidth="1"/>
    <col min="9" max="9" width="20.1428571428571" customWidth="1"/>
    <col min="10" max="10" width="21.7142857142857" customWidth="1"/>
    <col min="11" max="11" width="11.8571428571429" customWidth="1"/>
    <col min="12" max="12" width="10.1428571428571" customWidth="1"/>
    <col min="13" max="13" width="17.5714285714286" customWidth="1"/>
    <col min="14" max="15" width="14.2857142857143" customWidth="1"/>
    <col min="16" max="16" width="28.2857142857143" customWidth="1"/>
    <col min="17" max="27" width="8.71428571428571" customWidth="1"/>
  </cols>
  <sheetData>
    <row r="1" spans="1:15">
      <c r="A1" s="24" t="s">
        <v>0</v>
      </c>
      <c r="B1" s="24" t="s">
        <v>18</v>
      </c>
      <c r="C1" s="24" t="s">
        <v>184</v>
      </c>
      <c r="D1" s="25" t="s">
        <v>14</v>
      </c>
      <c r="E1" s="24" t="s">
        <v>16</v>
      </c>
      <c r="F1" s="17" t="s">
        <v>17</v>
      </c>
      <c r="G1" s="24" t="s">
        <v>15</v>
      </c>
      <c r="H1" s="26" t="s">
        <v>185</v>
      </c>
      <c r="I1" s="26" t="s">
        <v>186</v>
      </c>
      <c r="J1" s="26" t="s">
        <v>187</v>
      </c>
      <c r="K1" s="26" t="s">
        <v>188</v>
      </c>
      <c r="L1" s="26" t="s">
        <v>189</v>
      </c>
      <c r="M1" s="26" t="s">
        <v>9</v>
      </c>
      <c r="N1" s="31" t="s">
        <v>190</v>
      </c>
      <c r="O1" s="17" t="s">
        <v>2</v>
      </c>
    </row>
    <row r="2" ht="16.5" spans="1:17">
      <c r="A2" s="27" t="s">
        <v>191</v>
      </c>
      <c r="B2" s="27" t="s">
        <v>34</v>
      </c>
      <c r="C2" s="27" t="s">
        <v>192</v>
      </c>
      <c r="D2" s="28">
        <v>45261</v>
      </c>
      <c r="E2" s="29" t="str">
        <f>TEXT(D2,"mmmm")</f>
        <v>December</v>
      </c>
      <c r="F2" s="18">
        <f>YEAR(D2)</f>
        <v>2023</v>
      </c>
      <c r="G2" s="29">
        <v>45510</v>
      </c>
      <c r="H2" s="30">
        <f t="shared" ref="H2:H18" si="0">G2-D2+1</f>
        <v>250</v>
      </c>
      <c r="I2" s="32">
        <v>1059466</v>
      </c>
      <c r="J2" s="32">
        <f t="shared" ref="J2:J17" si="1">I2*H2/365</f>
        <v>725661.643835616</v>
      </c>
      <c r="K2" s="32">
        <f t="shared" ref="K2:K117" si="2">J2*5%</f>
        <v>36283.0821917808</v>
      </c>
      <c r="L2" s="32">
        <v>40000</v>
      </c>
      <c r="M2" s="32">
        <f t="shared" ref="M2:M117" si="3">SUM(J2:L2)</f>
        <v>801944.726027397</v>
      </c>
      <c r="N2" s="33" t="s">
        <v>193</v>
      </c>
      <c r="O2" s="33" t="s">
        <v>28</v>
      </c>
      <c r="Q2" s="34"/>
    </row>
    <row r="3" ht="16.5" spans="1:17">
      <c r="A3" s="27" t="s">
        <v>157</v>
      </c>
      <c r="B3" s="27" t="s">
        <v>29</v>
      </c>
      <c r="C3" s="27" t="s">
        <v>194</v>
      </c>
      <c r="D3" s="28">
        <v>45079</v>
      </c>
      <c r="E3" s="29" t="str">
        <f t="shared" ref="E3:E66" si="4">TEXT(D3,"mmmm")</f>
        <v>June</v>
      </c>
      <c r="F3" s="18">
        <f t="shared" ref="F3:F66" si="5">YEAR(D3)</f>
        <v>2023</v>
      </c>
      <c r="G3" s="29">
        <v>45395</v>
      </c>
      <c r="H3" s="30">
        <f t="shared" si="0"/>
        <v>317</v>
      </c>
      <c r="I3" s="32">
        <v>117041</v>
      </c>
      <c r="J3" s="32">
        <f t="shared" si="1"/>
        <v>101649.306849315</v>
      </c>
      <c r="K3" s="32">
        <f t="shared" si="2"/>
        <v>5082.46534246575</v>
      </c>
      <c r="L3" s="32">
        <v>5000</v>
      </c>
      <c r="M3" s="32">
        <f t="shared" si="3"/>
        <v>111731.772191781</v>
      </c>
      <c r="N3" s="33" t="s">
        <v>193</v>
      </c>
      <c r="O3" s="33" t="s">
        <v>28</v>
      </c>
      <c r="Q3" s="34"/>
    </row>
    <row r="4" ht="16.5" spans="1:17">
      <c r="A4" s="27" t="s">
        <v>157</v>
      </c>
      <c r="B4" s="27" t="s">
        <v>29</v>
      </c>
      <c r="C4" s="27" t="s">
        <v>195</v>
      </c>
      <c r="D4" s="28">
        <v>45079</v>
      </c>
      <c r="E4" s="29" t="str">
        <f t="shared" si="4"/>
        <v>June</v>
      </c>
      <c r="F4" s="18">
        <f t="shared" si="5"/>
        <v>2023</v>
      </c>
      <c r="G4" s="29">
        <v>45395</v>
      </c>
      <c r="H4" s="30">
        <f t="shared" si="0"/>
        <v>317</v>
      </c>
      <c r="I4" s="32">
        <v>117041</v>
      </c>
      <c r="J4" s="32">
        <f t="shared" si="1"/>
        <v>101649.306849315</v>
      </c>
      <c r="K4" s="32">
        <f t="shared" si="2"/>
        <v>5082.46534246575</v>
      </c>
      <c r="L4" s="32">
        <v>5000</v>
      </c>
      <c r="M4" s="32">
        <f t="shared" si="3"/>
        <v>111731.772191781</v>
      </c>
      <c r="N4" s="33" t="s">
        <v>193</v>
      </c>
      <c r="O4" s="33" t="s">
        <v>28</v>
      </c>
      <c r="Q4" s="34"/>
    </row>
    <row r="5" ht="16.5" spans="1:17">
      <c r="A5" s="27" t="s">
        <v>157</v>
      </c>
      <c r="B5" s="27" t="s">
        <v>29</v>
      </c>
      <c r="C5" s="27" t="s">
        <v>196</v>
      </c>
      <c r="D5" s="28">
        <v>45079</v>
      </c>
      <c r="E5" s="29" t="str">
        <f t="shared" si="4"/>
        <v>June</v>
      </c>
      <c r="F5" s="18">
        <f t="shared" si="5"/>
        <v>2023</v>
      </c>
      <c r="G5" s="29">
        <v>45395</v>
      </c>
      <c r="H5" s="30">
        <f t="shared" si="0"/>
        <v>317</v>
      </c>
      <c r="I5" s="32">
        <v>289008</v>
      </c>
      <c r="J5" s="32">
        <f t="shared" si="1"/>
        <v>251001.468493151</v>
      </c>
      <c r="K5" s="32">
        <f t="shared" si="2"/>
        <v>12550.0734246575</v>
      </c>
      <c r="L5" s="32">
        <v>25000</v>
      </c>
      <c r="M5" s="32">
        <f t="shared" si="3"/>
        <v>288551.541917808</v>
      </c>
      <c r="N5" s="33" t="s">
        <v>193</v>
      </c>
      <c r="O5" s="33" t="s">
        <v>28</v>
      </c>
      <c r="Q5" s="34"/>
    </row>
    <row r="6" ht="16.5" spans="1:17">
      <c r="A6" s="27" t="s">
        <v>157</v>
      </c>
      <c r="B6" s="27" t="s">
        <v>29</v>
      </c>
      <c r="C6" s="27" t="s">
        <v>197</v>
      </c>
      <c r="D6" s="28">
        <v>45211</v>
      </c>
      <c r="E6" s="29" t="str">
        <f t="shared" si="4"/>
        <v>October</v>
      </c>
      <c r="F6" s="18">
        <f t="shared" si="5"/>
        <v>2023</v>
      </c>
      <c r="G6" s="29">
        <v>45395</v>
      </c>
      <c r="H6" s="30">
        <f t="shared" si="0"/>
        <v>185</v>
      </c>
      <c r="I6" s="32">
        <v>117041</v>
      </c>
      <c r="J6" s="32">
        <f t="shared" si="1"/>
        <v>59322.1506849315</v>
      </c>
      <c r="K6" s="32">
        <f t="shared" si="2"/>
        <v>2966.10753424658</v>
      </c>
      <c r="L6" s="32">
        <v>5000</v>
      </c>
      <c r="M6" s="32">
        <f t="shared" si="3"/>
        <v>67288.2582191781</v>
      </c>
      <c r="N6" s="33" t="s">
        <v>193</v>
      </c>
      <c r="O6" s="33" t="s">
        <v>28</v>
      </c>
      <c r="Q6" s="34"/>
    </row>
    <row r="7" ht="16.5" spans="1:17">
      <c r="A7" s="27" t="s">
        <v>157</v>
      </c>
      <c r="B7" s="27" t="s">
        <v>29</v>
      </c>
      <c r="C7" s="27" t="s">
        <v>198</v>
      </c>
      <c r="D7" s="28">
        <v>45211</v>
      </c>
      <c r="E7" s="29" t="str">
        <f t="shared" si="4"/>
        <v>October</v>
      </c>
      <c r="F7" s="18">
        <f t="shared" si="5"/>
        <v>2023</v>
      </c>
      <c r="G7" s="29">
        <v>45395</v>
      </c>
      <c r="H7" s="30">
        <f t="shared" si="0"/>
        <v>185</v>
      </c>
      <c r="I7" s="32">
        <v>117041</v>
      </c>
      <c r="J7" s="32">
        <f t="shared" si="1"/>
        <v>59322.1506849315</v>
      </c>
      <c r="K7" s="32">
        <f t="shared" si="2"/>
        <v>2966.10753424658</v>
      </c>
      <c r="L7" s="32">
        <v>5000</v>
      </c>
      <c r="M7" s="32">
        <f t="shared" si="3"/>
        <v>67288.2582191781</v>
      </c>
      <c r="N7" s="33" t="s">
        <v>193</v>
      </c>
      <c r="O7" s="33" t="s">
        <v>28</v>
      </c>
      <c r="Q7" s="34"/>
    </row>
    <row r="8" ht="16.5" spans="1:17">
      <c r="A8" s="27" t="s">
        <v>157</v>
      </c>
      <c r="B8" s="27" t="s">
        <v>29</v>
      </c>
      <c r="C8" s="27" t="s">
        <v>199</v>
      </c>
      <c r="D8" s="28">
        <v>45211</v>
      </c>
      <c r="E8" s="29" t="str">
        <f t="shared" si="4"/>
        <v>October</v>
      </c>
      <c r="F8" s="18">
        <f t="shared" si="5"/>
        <v>2023</v>
      </c>
      <c r="G8" s="29">
        <v>45395</v>
      </c>
      <c r="H8" s="30">
        <f t="shared" si="0"/>
        <v>185</v>
      </c>
      <c r="I8" s="32">
        <v>117041</v>
      </c>
      <c r="J8" s="32">
        <f t="shared" si="1"/>
        <v>59322.1506849315</v>
      </c>
      <c r="K8" s="32">
        <f t="shared" si="2"/>
        <v>2966.10753424658</v>
      </c>
      <c r="L8" s="32">
        <v>5000</v>
      </c>
      <c r="M8" s="32">
        <f t="shared" si="3"/>
        <v>67288.2582191781</v>
      </c>
      <c r="N8" s="33" t="s">
        <v>193</v>
      </c>
      <c r="O8" s="33" t="s">
        <v>28</v>
      </c>
      <c r="Q8" s="34"/>
    </row>
    <row r="9" ht="16.5" spans="1:17">
      <c r="A9" s="27" t="s">
        <v>157</v>
      </c>
      <c r="B9" s="27" t="s">
        <v>29</v>
      </c>
      <c r="C9" s="27" t="s">
        <v>200</v>
      </c>
      <c r="D9" s="28">
        <v>45211</v>
      </c>
      <c r="E9" s="29" t="str">
        <f t="shared" si="4"/>
        <v>October</v>
      </c>
      <c r="F9" s="18">
        <f t="shared" si="5"/>
        <v>2023</v>
      </c>
      <c r="G9" s="29">
        <v>45395</v>
      </c>
      <c r="H9" s="30">
        <f t="shared" si="0"/>
        <v>185</v>
      </c>
      <c r="I9" s="32">
        <v>213797</v>
      </c>
      <c r="J9" s="32">
        <f t="shared" si="1"/>
        <v>108362.863013699</v>
      </c>
      <c r="K9" s="32">
        <f t="shared" si="2"/>
        <v>5418.14315068493</v>
      </c>
      <c r="L9" s="32">
        <v>10000</v>
      </c>
      <c r="M9" s="32">
        <f t="shared" si="3"/>
        <v>123781.006164384</v>
      </c>
      <c r="N9" s="33" t="s">
        <v>193</v>
      </c>
      <c r="O9" s="33" t="s">
        <v>28</v>
      </c>
      <c r="Q9" s="34"/>
    </row>
    <row r="10" ht="16.5" spans="1:17">
      <c r="A10" s="27" t="s">
        <v>157</v>
      </c>
      <c r="B10" s="27" t="s">
        <v>29</v>
      </c>
      <c r="C10" s="27" t="s">
        <v>201</v>
      </c>
      <c r="D10" s="28">
        <v>45208</v>
      </c>
      <c r="E10" s="29" t="str">
        <f t="shared" si="4"/>
        <v>October</v>
      </c>
      <c r="F10" s="18">
        <f t="shared" si="5"/>
        <v>2023</v>
      </c>
      <c r="G10" s="29">
        <v>45395</v>
      </c>
      <c r="H10" s="30">
        <f t="shared" si="0"/>
        <v>188</v>
      </c>
      <c r="I10" s="32">
        <v>117041</v>
      </c>
      <c r="J10" s="32">
        <f t="shared" si="1"/>
        <v>60284.1315068493</v>
      </c>
      <c r="K10" s="32">
        <f t="shared" si="2"/>
        <v>3014.20657534247</v>
      </c>
      <c r="L10" s="32">
        <v>5000</v>
      </c>
      <c r="M10" s="32">
        <f t="shared" si="3"/>
        <v>68298.3380821918</v>
      </c>
      <c r="N10" s="33" t="s">
        <v>193</v>
      </c>
      <c r="O10" s="33" t="s">
        <v>28</v>
      </c>
      <c r="Q10" s="34"/>
    </row>
    <row r="11" ht="16.5" spans="1:17">
      <c r="A11" s="27" t="s">
        <v>157</v>
      </c>
      <c r="B11" s="27" t="s">
        <v>29</v>
      </c>
      <c r="C11" s="27" t="s">
        <v>202</v>
      </c>
      <c r="D11" s="28">
        <v>45117</v>
      </c>
      <c r="E11" s="29" t="str">
        <f t="shared" si="4"/>
        <v>July</v>
      </c>
      <c r="F11" s="18">
        <f t="shared" si="5"/>
        <v>2023</v>
      </c>
      <c r="G11" s="29">
        <v>45395</v>
      </c>
      <c r="H11" s="30">
        <f t="shared" si="0"/>
        <v>279</v>
      </c>
      <c r="I11" s="32">
        <v>117041</v>
      </c>
      <c r="J11" s="32">
        <f t="shared" si="1"/>
        <v>89464.2164383562</v>
      </c>
      <c r="K11" s="32">
        <f t="shared" si="2"/>
        <v>4473.21082191781</v>
      </c>
      <c r="L11" s="32">
        <v>5000</v>
      </c>
      <c r="M11" s="32">
        <f t="shared" si="3"/>
        <v>98937.427260274</v>
      </c>
      <c r="N11" s="33" t="s">
        <v>193</v>
      </c>
      <c r="O11" s="33" t="s">
        <v>28</v>
      </c>
      <c r="Q11" s="34"/>
    </row>
    <row r="12" ht="16.5" spans="1:17">
      <c r="A12" s="27" t="s">
        <v>157</v>
      </c>
      <c r="B12" s="27" t="s">
        <v>29</v>
      </c>
      <c r="C12" s="27" t="s">
        <v>203</v>
      </c>
      <c r="D12" s="28">
        <v>45273</v>
      </c>
      <c r="E12" s="29" t="str">
        <f t="shared" si="4"/>
        <v>December</v>
      </c>
      <c r="F12" s="18">
        <f t="shared" si="5"/>
        <v>2023</v>
      </c>
      <c r="G12" s="29">
        <v>45395</v>
      </c>
      <c r="H12" s="30">
        <f t="shared" si="0"/>
        <v>123</v>
      </c>
      <c r="I12" s="32">
        <v>117041</v>
      </c>
      <c r="J12" s="32">
        <f t="shared" si="1"/>
        <v>39441.2136986301</v>
      </c>
      <c r="K12" s="32">
        <f t="shared" si="2"/>
        <v>1972.06068493151</v>
      </c>
      <c r="L12" s="32">
        <v>5000</v>
      </c>
      <c r="M12" s="32">
        <f t="shared" si="3"/>
        <v>46413.2743835616</v>
      </c>
      <c r="N12" s="33" t="s">
        <v>193</v>
      </c>
      <c r="O12" s="33" t="s">
        <v>28</v>
      </c>
      <c r="Q12" s="34"/>
    </row>
    <row r="13" ht="16.5" spans="1:17">
      <c r="A13" s="27" t="s">
        <v>157</v>
      </c>
      <c r="B13" s="27" t="s">
        <v>29</v>
      </c>
      <c r="C13" s="27" t="s">
        <v>204</v>
      </c>
      <c r="D13" s="28">
        <v>45273</v>
      </c>
      <c r="E13" s="29" t="str">
        <f t="shared" si="4"/>
        <v>December</v>
      </c>
      <c r="F13" s="18">
        <f t="shared" si="5"/>
        <v>2023</v>
      </c>
      <c r="G13" s="29">
        <v>45395</v>
      </c>
      <c r="H13" s="30">
        <f t="shared" si="0"/>
        <v>123</v>
      </c>
      <c r="I13" s="32">
        <v>117041</v>
      </c>
      <c r="J13" s="32">
        <f t="shared" si="1"/>
        <v>39441.2136986301</v>
      </c>
      <c r="K13" s="32">
        <f t="shared" si="2"/>
        <v>1972.06068493151</v>
      </c>
      <c r="L13" s="32">
        <v>5000</v>
      </c>
      <c r="M13" s="32">
        <f t="shared" si="3"/>
        <v>46413.2743835616</v>
      </c>
      <c r="N13" s="33" t="s">
        <v>193</v>
      </c>
      <c r="O13" s="33" t="s">
        <v>28</v>
      </c>
      <c r="Q13" s="34"/>
    </row>
    <row r="14" ht="16.5" spans="1:17">
      <c r="A14" s="27" t="s">
        <v>157</v>
      </c>
      <c r="B14" s="27" t="s">
        <v>29</v>
      </c>
      <c r="C14" s="27" t="s">
        <v>205</v>
      </c>
      <c r="D14" s="28">
        <v>45273</v>
      </c>
      <c r="E14" s="29" t="str">
        <f t="shared" si="4"/>
        <v>December</v>
      </c>
      <c r="F14" s="18">
        <f t="shared" si="5"/>
        <v>2023</v>
      </c>
      <c r="G14" s="29">
        <v>45395</v>
      </c>
      <c r="H14" s="30">
        <f t="shared" si="0"/>
        <v>123</v>
      </c>
      <c r="I14" s="32">
        <v>117041</v>
      </c>
      <c r="J14" s="32">
        <f t="shared" si="1"/>
        <v>39441.2136986301</v>
      </c>
      <c r="K14" s="32">
        <f t="shared" si="2"/>
        <v>1972.06068493151</v>
      </c>
      <c r="L14" s="32">
        <v>5000</v>
      </c>
      <c r="M14" s="32">
        <f t="shared" si="3"/>
        <v>46413.2743835616</v>
      </c>
      <c r="N14" s="33" t="s">
        <v>193</v>
      </c>
      <c r="O14" s="33" t="s">
        <v>28</v>
      </c>
      <c r="Q14" s="34"/>
    </row>
    <row r="15" ht="16.5" spans="1:17">
      <c r="A15" s="27" t="s">
        <v>206</v>
      </c>
      <c r="B15" s="27" t="s">
        <v>34</v>
      </c>
      <c r="C15" s="27" t="s">
        <v>207</v>
      </c>
      <c r="D15" s="28">
        <v>45222</v>
      </c>
      <c r="E15" s="29" t="str">
        <f t="shared" si="4"/>
        <v>October</v>
      </c>
      <c r="F15" s="18">
        <f t="shared" si="5"/>
        <v>2023</v>
      </c>
      <c r="G15" s="29">
        <v>45457</v>
      </c>
      <c r="H15" s="30">
        <f t="shared" si="0"/>
        <v>236</v>
      </c>
      <c r="I15" s="32">
        <v>498432</v>
      </c>
      <c r="J15" s="32">
        <f t="shared" si="1"/>
        <v>322273.84109589</v>
      </c>
      <c r="K15" s="32">
        <f t="shared" si="2"/>
        <v>16113.6920547945</v>
      </c>
      <c r="L15" s="32">
        <v>10000</v>
      </c>
      <c r="M15" s="32">
        <f t="shared" si="3"/>
        <v>348387.533150685</v>
      </c>
      <c r="N15" s="33" t="s">
        <v>193</v>
      </c>
      <c r="O15" s="33" t="s">
        <v>28</v>
      </c>
      <c r="Q15" s="34"/>
    </row>
    <row r="16" ht="16.5" spans="1:15">
      <c r="A16" s="27" t="s">
        <v>208</v>
      </c>
      <c r="B16" s="27" t="s">
        <v>34</v>
      </c>
      <c r="C16" s="27" t="s">
        <v>209</v>
      </c>
      <c r="D16" s="28">
        <v>45324</v>
      </c>
      <c r="E16" s="29" t="str">
        <f t="shared" si="4"/>
        <v>February</v>
      </c>
      <c r="F16" s="18">
        <f t="shared" si="5"/>
        <v>2024</v>
      </c>
      <c r="G16" s="29">
        <v>45652</v>
      </c>
      <c r="H16" s="30">
        <f t="shared" si="0"/>
        <v>329</v>
      </c>
      <c r="I16" s="32">
        <v>1427529</v>
      </c>
      <c r="J16" s="32">
        <f t="shared" si="1"/>
        <v>1286731.61917808</v>
      </c>
      <c r="K16" s="32">
        <f t="shared" si="2"/>
        <v>64336.5809589041</v>
      </c>
      <c r="L16" s="32">
        <v>60000</v>
      </c>
      <c r="M16" s="32">
        <f t="shared" si="3"/>
        <v>1411068.20013699</v>
      </c>
      <c r="N16" s="33" t="s">
        <v>193</v>
      </c>
      <c r="O16" s="33" t="s">
        <v>28</v>
      </c>
    </row>
    <row r="17" ht="16.5" spans="1:15">
      <c r="A17" s="27" t="s">
        <v>208</v>
      </c>
      <c r="B17" s="27" t="s">
        <v>34</v>
      </c>
      <c r="C17" s="27" t="s">
        <v>210</v>
      </c>
      <c r="D17" s="28">
        <v>45324</v>
      </c>
      <c r="E17" s="29" t="str">
        <f t="shared" si="4"/>
        <v>February</v>
      </c>
      <c r="F17" s="18">
        <f t="shared" si="5"/>
        <v>2024</v>
      </c>
      <c r="G17" s="29">
        <v>45652</v>
      </c>
      <c r="H17" s="30">
        <f t="shared" si="0"/>
        <v>329</v>
      </c>
      <c r="I17" s="32">
        <v>1427529</v>
      </c>
      <c r="J17" s="32">
        <f t="shared" si="1"/>
        <v>1286731.61917808</v>
      </c>
      <c r="K17" s="32">
        <f t="shared" si="2"/>
        <v>64336.5809589041</v>
      </c>
      <c r="L17" s="32">
        <v>60000</v>
      </c>
      <c r="M17" s="32">
        <f t="shared" si="3"/>
        <v>1411068.20013699</v>
      </c>
      <c r="N17" s="33" t="s">
        <v>193</v>
      </c>
      <c r="O17" s="33" t="s">
        <v>28</v>
      </c>
    </row>
    <row r="18" ht="16.5" spans="1:15">
      <c r="A18" s="27" t="s">
        <v>211</v>
      </c>
      <c r="B18" s="27" t="s">
        <v>29</v>
      </c>
      <c r="C18" s="27" t="s">
        <v>212</v>
      </c>
      <c r="D18" s="28">
        <v>45292</v>
      </c>
      <c r="E18" s="29" t="str">
        <f t="shared" si="4"/>
        <v>January</v>
      </c>
      <c r="F18" s="18">
        <f t="shared" si="5"/>
        <v>2024</v>
      </c>
      <c r="G18" s="29">
        <v>45412</v>
      </c>
      <c r="H18" s="30">
        <f t="shared" si="0"/>
        <v>121</v>
      </c>
      <c r="I18" s="32">
        <f>145607.157*386</f>
        <v>56204362.602</v>
      </c>
      <c r="J18" s="32">
        <f>I18</f>
        <v>56204362.602</v>
      </c>
      <c r="K18" s="32">
        <f t="shared" si="2"/>
        <v>2810218.1301</v>
      </c>
      <c r="L18" s="32">
        <v>0</v>
      </c>
      <c r="M18" s="32">
        <f t="shared" si="3"/>
        <v>59014580.7321</v>
      </c>
      <c r="N18" s="33" t="s">
        <v>193</v>
      </c>
      <c r="O18" s="33" t="s">
        <v>28</v>
      </c>
    </row>
    <row r="19" ht="16.5" spans="1:15">
      <c r="A19" s="27" t="s">
        <v>213</v>
      </c>
      <c r="B19" s="27" t="s">
        <v>29</v>
      </c>
      <c r="C19" s="27" t="s">
        <v>214</v>
      </c>
      <c r="D19" s="28">
        <v>45323</v>
      </c>
      <c r="E19" s="29" t="str">
        <f t="shared" si="4"/>
        <v>February</v>
      </c>
      <c r="F19" s="18">
        <f t="shared" si="5"/>
        <v>2024</v>
      </c>
      <c r="G19" s="29">
        <v>45570</v>
      </c>
      <c r="H19" s="30">
        <v>0</v>
      </c>
      <c r="I19" s="32">
        <v>18129600</v>
      </c>
      <c r="J19" s="32">
        <v>16016549.5890411</v>
      </c>
      <c r="K19" s="32">
        <f t="shared" si="2"/>
        <v>800827.479452055</v>
      </c>
      <c r="L19" s="32">
        <v>171000</v>
      </c>
      <c r="M19" s="32">
        <f t="shared" si="3"/>
        <v>16988377.0684931</v>
      </c>
      <c r="N19" s="33" t="s">
        <v>193</v>
      </c>
      <c r="O19" s="33" t="s">
        <v>28</v>
      </c>
    </row>
    <row r="20" ht="16.5" spans="1:15">
      <c r="A20" s="27" t="s">
        <v>215</v>
      </c>
      <c r="B20" s="27" t="s">
        <v>29</v>
      </c>
      <c r="C20" s="27" t="s">
        <v>216</v>
      </c>
      <c r="D20" s="28">
        <v>45272</v>
      </c>
      <c r="E20" s="29" t="str">
        <f t="shared" si="4"/>
        <v>December</v>
      </c>
      <c r="F20" s="18">
        <f t="shared" si="5"/>
        <v>2023</v>
      </c>
      <c r="G20" s="29">
        <v>45535</v>
      </c>
      <c r="H20" s="30">
        <v>264</v>
      </c>
      <c r="I20" s="32">
        <v>417659</v>
      </c>
      <c r="J20" s="32">
        <f t="shared" ref="J20:J103" si="6">I20*H20/365</f>
        <v>302087.605479452</v>
      </c>
      <c r="K20" s="32">
        <f t="shared" si="2"/>
        <v>15104.3802739726</v>
      </c>
      <c r="L20" s="32">
        <v>10000</v>
      </c>
      <c r="M20" s="32">
        <f t="shared" si="3"/>
        <v>327191.985753425</v>
      </c>
      <c r="N20" s="33" t="s">
        <v>193</v>
      </c>
      <c r="O20" s="33" t="s">
        <v>28</v>
      </c>
    </row>
    <row r="21" ht="15.75" customHeight="1" spans="1:15">
      <c r="A21" s="27" t="s">
        <v>215</v>
      </c>
      <c r="B21" s="27" t="s">
        <v>29</v>
      </c>
      <c r="C21" s="27" t="s">
        <v>217</v>
      </c>
      <c r="D21" s="28">
        <v>45272</v>
      </c>
      <c r="E21" s="29" t="str">
        <f t="shared" si="4"/>
        <v>December</v>
      </c>
      <c r="F21" s="18">
        <f t="shared" si="5"/>
        <v>2023</v>
      </c>
      <c r="G21" s="29">
        <v>45535</v>
      </c>
      <c r="H21" s="30">
        <v>264</v>
      </c>
      <c r="I21" s="32">
        <v>1018715</v>
      </c>
      <c r="J21" s="32">
        <f t="shared" si="6"/>
        <v>736824</v>
      </c>
      <c r="K21" s="32">
        <f t="shared" si="2"/>
        <v>36841.2</v>
      </c>
      <c r="L21" s="32">
        <v>40000</v>
      </c>
      <c r="M21" s="32">
        <f t="shared" si="3"/>
        <v>813665.2</v>
      </c>
      <c r="N21" s="33" t="s">
        <v>193</v>
      </c>
      <c r="O21" s="33" t="s">
        <v>28</v>
      </c>
    </row>
    <row r="22" ht="15.75" customHeight="1" spans="1:15">
      <c r="A22" s="27" t="s">
        <v>157</v>
      </c>
      <c r="B22" s="27" t="s">
        <v>29</v>
      </c>
      <c r="C22" s="27" t="s">
        <v>203</v>
      </c>
      <c r="D22" s="28">
        <v>45273</v>
      </c>
      <c r="E22" s="29" t="str">
        <f t="shared" si="4"/>
        <v>December</v>
      </c>
      <c r="F22" s="18">
        <f t="shared" si="5"/>
        <v>2023</v>
      </c>
      <c r="G22" s="29">
        <v>45395</v>
      </c>
      <c r="H22" s="30">
        <v>123</v>
      </c>
      <c r="I22" s="32">
        <v>117041</v>
      </c>
      <c r="J22" s="32">
        <f t="shared" si="6"/>
        <v>39441.2136986301</v>
      </c>
      <c r="K22" s="32">
        <f t="shared" si="2"/>
        <v>1972.06068493151</v>
      </c>
      <c r="L22" s="32">
        <v>5000</v>
      </c>
      <c r="M22" s="32">
        <f t="shared" si="3"/>
        <v>46413.2743835616</v>
      </c>
      <c r="N22" s="33" t="s">
        <v>193</v>
      </c>
      <c r="O22" s="33" t="s">
        <v>28</v>
      </c>
    </row>
    <row r="23" ht="15.75" customHeight="1" spans="1:15">
      <c r="A23" s="27" t="s">
        <v>157</v>
      </c>
      <c r="B23" s="27" t="s">
        <v>29</v>
      </c>
      <c r="C23" s="27" t="s">
        <v>204</v>
      </c>
      <c r="D23" s="28">
        <v>45273</v>
      </c>
      <c r="E23" s="29" t="str">
        <f t="shared" si="4"/>
        <v>December</v>
      </c>
      <c r="F23" s="18">
        <f t="shared" si="5"/>
        <v>2023</v>
      </c>
      <c r="G23" s="29">
        <v>45395</v>
      </c>
      <c r="H23" s="30">
        <v>123</v>
      </c>
      <c r="I23" s="32">
        <v>117041</v>
      </c>
      <c r="J23" s="32">
        <f t="shared" si="6"/>
        <v>39441.2136986301</v>
      </c>
      <c r="K23" s="32">
        <f t="shared" si="2"/>
        <v>1972.06068493151</v>
      </c>
      <c r="L23" s="32">
        <v>5000</v>
      </c>
      <c r="M23" s="32">
        <f t="shared" si="3"/>
        <v>46413.2743835616</v>
      </c>
      <c r="N23" s="33" t="s">
        <v>193</v>
      </c>
      <c r="O23" s="33" t="s">
        <v>28</v>
      </c>
    </row>
    <row r="24" ht="15.75" customHeight="1" spans="1:15">
      <c r="A24" s="27" t="s">
        <v>157</v>
      </c>
      <c r="B24" s="27" t="s">
        <v>29</v>
      </c>
      <c r="C24" s="27" t="s">
        <v>205</v>
      </c>
      <c r="D24" s="28">
        <v>45273</v>
      </c>
      <c r="E24" s="29" t="str">
        <f t="shared" si="4"/>
        <v>December</v>
      </c>
      <c r="F24" s="18">
        <f t="shared" si="5"/>
        <v>2023</v>
      </c>
      <c r="G24" s="29">
        <v>45395</v>
      </c>
      <c r="H24" s="30">
        <v>123</v>
      </c>
      <c r="I24" s="32">
        <v>117041</v>
      </c>
      <c r="J24" s="32">
        <f t="shared" si="6"/>
        <v>39441.2136986301</v>
      </c>
      <c r="K24" s="32">
        <f t="shared" si="2"/>
        <v>1972.06068493151</v>
      </c>
      <c r="L24" s="32">
        <v>5000</v>
      </c>
      <c r="M24" s="32">
        <f t="shared" si="3"/>
        <v>46413.2743835616</v>
      </c>
      <c r="N24" s="33" t="s">
        <v>193</v>
      </c>
      <c r="O24" s="33" t="s">
        <v>28</v>
      </c>
    </row>
    <row r="25" ht="15.75" customHeight="1" spans="1:15">
      <c r="A25" s="27" t="s">
        <v>168</v>
      </c>
      <c r="B25" s="27" t="s">
        <v>29</v>
      </c>
      <c r="C25" s="27" t="s">
        <v>218</v>
      </c>
      <c r="D25" s="28">
        <v>45296</v>
      </c>
      <c r="E25" s="29" t="str">
        <f t="shared" si="4"/>
        <v>January</v>
      </c>
      <c r="F25" s="18">
        <f t="shared" si="5"/>
        <v>2024</v>
      </c>
      <c r="G25" s="29">
        <v>45570</v>
      </c>
      <c r="H25" s="30">
        <f t="shared" ref="H25:H93" si="7">G25-D25+1</f>
        <v>275</v>
      </c>
      <c r="I25" s="32">
        <v>377700</v>
      </c>
      <c r="J25" s="32">
        <f t="shared" si="6"/>
        <v>284568.493150685</v>
      </c>
      <c r="K25" s="32">
        <f t="shared" si="2"/>
        <v>14228.4246575342</v>
      </c>
      <c r="L25" s="32">
        <v>3000</v>
      </c>
      <c r="M25" s="32">
        <f t="shared" si="3"/>
        <v>301796.917808219</v>
      </c>
      <c r="N25" s="33" t="s">
        <v>193</v>
      </c>
      <c r="O25" s="33" t="s">
        <v>28</v>
      </c>
    </row>
    <row r="26" ht="15.75" customHeight="1" spans="1:15">
      <c r="A26" s="27" t="s">
        <v>168</v>
      </c>
      <c r="B26" s="27" t="s">
        <v>29</v>
      </c>
      <c r="C26" s="27" t="s">
        <v>219</v>
      </c>
      <c r="D26" s="28">
        <v>45296</v>
      </c>
      <c r="E26" s="29" t="str">
        <f t="shared" si="4"/>
        <v>January</v>
      </c>
      <c r="F26" s="18">
        <f t="shared" si="5"/>
        <v>2024</v>
      </c>
      <c r="G26" s="29">
        <v>45570</v>
      </c>
      <c r="H26" s="30">
        <f t="shared" si="7"/>
        <v>275</v>
      </c>
      <c r="I26" s="32">
        <v>377700</v>
      </c>
      <c r="J26" s="32">
        <f t="shared" si="6"/>
        <v>284568.493150685</v>
      </c>
      <c r="K26" s="32">
        <f t="shared" si="2"/>
        <v>14228.4246575342</v>
      </c>
      <c r="L26" s="32">
        <v>3000</v>
      </c>
      <c r="M26" s="32">
        <f t="shared" si="3"/>
        <v>301796.917808219</v>
      </c>
      <c r="N26" s="33" t="s">
        <v>193</v>
      </c>
      <c r="O26" s="33" t="s">
        <v>28</v>
      </c>
    </row>
    <row r="27" ht="15.75" customHeight="1" spans="1:15">
      <c r="A27" s="27" t="s">
        <v>168</v>
      </c>
      <c r="B27" s="27" t="s">
        <v>29</v>
      </c>
      <c r="C27" s="27" t="s">
        <v>220</v>
      </c>
      <c r="D27" s="28">
        <v>45296</v>
      </c>
      <c r="E27" s="29" t="str">
        <f t="shared" si="4"/>
        <v>January</v>
      </c>
      <c r="F27" s="18">
        <f t="shared" si="5"/>
        <v>2024</v>
      </c>
      <c r="G27" s="29">
        <v>45570</v>
      </c>
      <c r="H27" s="30">
        <f t="shared" si="7"/>
        <v>275</v>
      </c>
      <c r="I27" s="32">
        <v>377700</v>
      </c>
      <c r="J27" s="32">
        <f t="shared" si="6"/>
        <v>284568.493150685</v>
      </c>
      <c r="K27" s="32">
        <f t="shared" si="2"/>
        <v>14228.4246575342</v>
      </c>
      <c r="L27" s="32">
        <v>3000</v>
      </c>
      <c r="M27" s="32">
        <f t="shared" si="3"/>
        <v>301796.917808219</v>
      </c>
      <c r="N27" s="33" t="s">
        <v>193</v>
      </c>
      <c r="O27" s="33" t="s">
        <v>28</v>
      </c>
    </row>
    <row r="28" ht="15.75" customHeight="1" spans="1:15">
      <c r="A28" s="27" t="s">
        <v>168</v>
      </c>
      <c r="B28" s="27" t="s">
        <v>29</v>
      </c>
      <c r="C28" s="27" t="s">
        <v>221</v>
      </c>
      <c r="D28" s="28">
        <v>45296</v>
      </c>
      <c r="E28" s="29" t="str">
        <f t="shared" si="4"/>
        <v>January</v>
      </c>
      <c r="F28" s="18">
        <f t="shared" si="5"/>
        <v>2024</v>
      </c>
      <c r="G28" s="29">
        <v>45570</v>
      </c>
      <c r="H28" s="30">
        <f t="shared" si="7"/>
        <v>275</v>
      </c>
      <c r="I28" s="32">
        <v>377700</v>
      </c>
      <c r="J28" s="32">
        <f t="shared" si="6"/>
        <v>284568.493150685</v>
      </c>
      <c r="K28" s="32">
        <f t="shared" si="2"/>
        <v>14228.4246575342</v>
      </c>
      <c r="L28" s="32">
        <v>9000</v>
      </c>
      <c r="M28" s="32">
        <f t="shared" si="3"/>
        <v>307796.917808219</v>
      </c>
      <c r="N28" s="33" t="s">
        <v>193</v>
      </c>
      <c r="O28" s="33" t="s">
        <v>28</v>
      </c>
    </row>
    <row r="29" ht="15.75" customHeight="1" spans="1:15">
      <c r="A29" s="27" t="s">
        <v>168</v>
      </c>
      <c r="B29" s="27" t="s">
        <v>29</v>
      </c>
      <c r="C29" s="27" t="s">
        <v>222</v>
      </c>
      <c r="D29" s="28">
        <v>45303</v>
      </c>
      <c r="E29" s="29" t="str">
        <f t="shared" si="4"/>
        <v>January</v>
      </c>
      <c r="F29" s="18">
        <f t="shared" si="5"/>
        <v>2024</v>
      </c>
      <c r="G29" s="29">
        <v>45570</v>
      </c>
      <c r="H29" s="30">
        <f t="shared" si="7"/>
        <v>268</v>
      </c>
      <c r="I29" s="32">
        <v>377700</v>
      </c>
      <c r="J29" s="32">
        <f t="shared" si="6"/>
        <v>277324.931506849</v>
      </c>
      <c r="K29" s="32">
        <f t="shared" si="2"/>
        <v>13866.2465753425</v>
      </c>
      <c r="L29" s="32">
        <v>3000</v>
      </c>
      <c r="M29" s="32">
        <f t="shared" si="3"/>
        <v>294191.178082192</v>
      </c>
      <c r="N29" s="33" t="s">
        <v>193</v>
      </c>
      <c r="O29" s="33" t="s">
        <v>28</v>
      </c>
    </row>
    <row r="30" ht="15.75" customHeight="1" spans="1:15">
      <c r="A30" s="27" t="s">
        <v>168</v>
      </c>
      <c r="B30" s="27" t="s">
        <v>29</v>
      </c>
      <c r="C30" s="27" t="s">
        <v>223</v>
      </c>
      <c r="D30" s="28">
        <v>45303</v>
      </c>
      <c r="E30" s="29" t="str">
        <f t="shared" si="4"/>
        <v>January</v>
      </c>
      <c r="F30" s="18">
        <f t="shared" si="5"/>
        <v>2024</v>
      </c>
      <c r="G30" s="29">
        <v>45570</v>
      </c>
      <c r="H30" s="30">
        <f t="shared" si="7"/>
        <v>268</v>
      </c>
      <c r="I30" s="32">
        <v>377700</v>
      </c>
      <c r="J30" s="32">
        <f t="shared" si="6"/>
        <v>277324.931506849</v>
      </c>
      <c r="K30" s="32">
        <f t="shared" si="2"/>
        <v>13866.2465753425</v>
      </c>
      <c r="L30" s="32">
        <v>3000</v>
      </c>
      <c r="M30" s="32">
        <f t="shared" si="3"/>
        <v>294191.178082192</v>
      </c>
      <c r="N30" s="33" t="s">
        <v>193</v>
      </c>
      <c r="O30" s="33" t="s">
        <v>28</v>
      </c>
    </row>
    <row r="31" ht="15.75" customHeight="1" spans="1:15">
      <c r="A31" s="27" t="s">
        <v>168</v>
      </c>
      <c r="B31" s="27" t="s">
        <v>29</v>
      </c>
      <c r="C31" s="27" t="s">
        <v>224</v>
      </c>
      <c r="D31" s="28">
        <v>45303</v>
      </c>
      <c r="E31" s="29" t="str">
        <f t="shared" si="4"/>
        <v>January</v>
      </c>
      <c r="F31" s="18">
        <f t="shared" si="5"/>
        <v>2024</v>
      </c>
      <c r="G31" s="29">
        <v>45570</v>
      </c>
      <c r="H31" s="30">
        <f t="shared" si="7"/>
        <v>268</v>
      </c>
      <c r="I31" s="32">
        <v>377700</v>
      </c>
      <c r="J31" s="32">
        <f t="shared" si="6"/>
        <v>277324.931506849</v>
      </c>
      <c r="K31" s="32">
        <f t="shared" si="2"/>
        <v>13866.2465753425</v>
      </c>
      <c r="L31" s="32">
        <v>3000</v>
      </c>
      <c r="M31" s="32">
        <f t="shared" si="3"/>
        <v>294191.178082192</v>
      </c>
      <c r="N31" s="33" t="s">
        <v>193</v>
      </c>
      <c r="O31" s="33" t="s">
        <v>28</v>
      </c>
    </row>
    <row r="32" ht="15.75" customHeight="1" spans="1:15">
      <c r="A32" s="27" t="s">
        <v>168</v>
      </c>
      <c r="B32" s="27" t="s">
        <v>29</v>
      </c>
      <c r="C32" s="27" t="s">
        <v>225</v>
      </c>
      <c r="D32" s="28">
        <v>45303</v>
      </c>
      <c r="E32" s="29" t="str">
        <f t="shared" si="4"/>
        <v>January</v>
      </c>
      <c r="F32" s="18">
        <f t="shared" si="5"/>
        <v>2024</v>
      </c>
      <c r="G32" s="29">
        <v>45570</v>
      </c>
      <c r="H32" s="30">
        <f t="shared" si="7"/>
        <v>268</v>
      </c>
      <c r="I32" s="32">
        <v>377700</v>
      </c>
      <c r="J32" s="32">
        <f t="shared" si="6"/>
        <v>277324.931506849</v>
      </c>
      <c r="K32" s="32">
        <f t="shared" si="2"/>
        <v>13866.2465753425</v>
      </c>
      <c r="L32" s="32">
        <v>3000</v>
      </c>
      <c r="M32" s="32">
        <f t="shared" si="3"/>
        <v>294191.178082192</v>
      </c>
      <c r="N32" s="33" t="s">
        <v>193</v>
      </c>
      <c r="O32" s="33" t="s">
        <v>28</v>
      </c>
    </row>
    <row r="33" ht="15.75" customHeight="1" spans="1:15">
      <c r="A33" s="27" t="s">
        <v>168</v>
      </c>
      <c r="B33" s="27" t="s">
        <v>29</v>
      </c>
      <c r="C33" s="27" t="s">
        <v>226</v>
      </c>
      <c r="D33" s="28">
        <v>45303</v>
      </c>
      <c r="E33" s="29" t="str">
        <f t="shared" si="4"/>
        <v>January</v>
      </c>
      <c r="F33" s="18">
        <f t="shared" si="5"/>
        <v>2024</v>
      </c>
      <c r="G33" s="29">
        <v>45570</v>
      </c>
      <c r="H33" s="30">
        <f t="shared" si="7"/>
        <v>268</v>
      </c>
      <c r="I33" s="32">
        <v>377700</v>
      </c>
      <c r="J33" s="32">
        <f t="shared" si="6"/>
        <v>277324.931506849</v>
      </c>
      <c r="K33" s="32">
        <f t="shared" si="2"/>
        <v>13866.2465753425</v>
      </c>
      <c r="L33" s="32">
        <v>3000</v>
      </c>
      <c r="M33" s="32">
        <f t="shared" si="3"/>
        <v>294191.178082192</v>
      </c>
      <c r="N33" s="33" t="s">
        <v>193</v>
      </c>
      <c r="O33" s="33" t="s">
        <v>28</v>
      </c>
    </row>
    <row r="34" ht="15.75" customHeight="1" spans="1:15">
      <c r="A34" s="27" t="s">
        <v>168</v>
      </c>
      <c r="B34" s="27" t="s">
        <v>29</v>
      </c>
      <c r="C34" s="27" t="s">
        <v>227</v>
      </c>
      <c r="D34" s="28">
        <v>45303</v>
      </c>
      <c r="E34" s="29" t="str">
        <f t="shared" si="4"/>
        <v>January</v>
      </c>
      <c r="F34" s="18">
        <f t="shared" si="5"/>
        <v>2024</v>
      </c>
      <c r="G34" s="29">
        <v>45570</v>
      </c>
      <c r="H34" s="30">
        <f t="shared" si="7"/>
        <v>268</v>
      </c>
      <c r="I34" s="32">
        <v>377700</v>
      </c>
      <c r="J34" s="32">
        <f t="shared" si="6"/>
        <v>277324.931506849</v>
      </c>
      <c r="K34" s="32">
        <f t="shared" si="2"/>
        <v>13866.2465753425</v>
      </c>
      <c r="L34" s="32">
        <v>3000</v>
      </c>
      <c r="M34" s="32">
        <f t="shared" si="3"/>
        <v>294191.178082192</v>
      </c>
      <c r="N34" s="33" t="s">
        <v>193</v>
      </c>
      <c r="O34" s="33" t="s">
        <v>28</v>
      </c>
    </row>
    <row r="35" ht="15.75" customHeight="1" spans="1:15">
      <c r="A35" s="27" t="s">
        <v>168</v>
      </c>
      <c r="B35" s="27" t="s">
        <v>29</v>
      </c>
      <c r="C35" s="27" t="s">
        <v>228</v>
      </c>
      <c r="D35" s="28">
        <v>45303</v>
      </c>
      <c r="E35" s="29" t="str">
        <f t="shared" si="4"/>
        <v>January</v>
      </c>
      <c r="F35" s="18">
        <f t="shared" si="5"/>
        <v>2024</v>
      </c>
      <c r="G35" s="29">
        <v>45570</v>
      </c>
      <c r="H35" s="30">
        <f t="shared" si="7"/>
        <v>268</v>
      </c>
      <c r="I35" s="32">
        <v>377700</v>
      </c>
      <c r="J35" s="32">
        <f t="shared" si="6"/>
        <v>277324.931506849</v>
      </c>
      <c r="K35" s="32">
        <f t="shared" si="2"/>
        <v>13866.2465753425</v>
      </c>
      <c r="L35" s="32">
        <v>3000</v>
      </c>
      <c r="M35" s="32">
        <f t="shared" si="3"/>
        <v>294191.178082192</v>
      </c>
      <c r="N35" s="33" t="s">
        <v>193</v>
      </c>
      <c r="O35" s="33" t="s">
        <v>28</v>
      </c>
    </row>
    <row r="36" ht="15.75" customHeight="1" spans="1:15">
      <c r="A36" s="27" t="s">
        <v>168</v>
      </c>
      <c r="B36" s="27" t="s">
        <v>29</v>
      </c>
      <c r="C36" s="27" t="s">
        <v>229</v>
      </c>
      <c r="D36" s="28">
        <v>45303</v>
      </c>
      <c r="E36" s="29" t="str">
        <f t="shared" si="4"/>
        <v>January</v>
      </c>
      <c r="F36" s="18">
        <f t="shared" si="5"/>
        <v>2024</v>
      </c>
      <c r="G36" s="29">
        <v>45570</v>
      </c>
      <c r="H36" s="30">
        <f t="shared" si="7"/>
        <v>268</v>
      </c>
      <c r="I36" s="32">
        <v>377700</v>
      </c>
      <c r="J36" s="32">
        <f t="shared" si="6"/>
        <v>277324.931506849</v>
      </c>
      <c r="K36" s="32">
        <f t="shared" si="2"/>
        <v>13866.2465753425</v>
      </c>
      <c r="L36" s="32">
        <v>3000</v>
      </c>
      <c r="M36" s="32">
        <f t="shared" si="3"/>
        <v>294191.178082192</v>
      </c>
      <c r="N36" s="33" t="s">
        <v>193</v>
      </c>
      <c r="O36" s="33" t="s">
        <v>28</v>
      </c>
    </row>
    <row r="37" ht="15.75" customHeight="1" spans="1:15">
      <c r="A37" s="27" t="s">
        <v>168</v>
      </c>
      <c r="B37" s="27" t="s">
        <v>29</v>
      </c>
      <c r="C37" s="27" t="s">
        <v>230</v>
      </c>
      <c r="D37" s="28">
        <v>45303</v>
      </c>
      <c r="E37" s="29" t="str">
        <f t="shared" si="4"/>
        <v>January</v>
      </c>
      <c r="F37" s="18">
        <f t="shared" si="5"/>
        <v>2024</v>
      </c>
      <c r="G37" s="29">
        <v>45570</v>
      </c>
      <c r="H37" s="30">
        <f t="shared" si="7"/>
        <v>268</v>
      </c>
      <c r="I37" s="32">
        <v>377700</v>
      </c>
      <c r="J37" s="32">
        <f t="shared" si="6"/>
        <v>277324.931506849</v>
      </c>
      <c r="K37" s="32">
        <f t="shared" si="2"/>
        <v>13866.2465753425</v>
      </c>
      <c r="L37" s="32">
        <v>3000</v>
      </c>
      <c r="M37" s="32">
        <f t="shared" si="3"/>
        <v>294191.178082192</v>
      </c>
      <c r="N37" s="33" t="s">
        <v>193</v>
      </c>
      <c r="O37" s="33" t="s">
        <v>28</v>
      </c>
    </row>
    <row r="38" ht="15.75" customHeight="1" spans="1:15">
      <c r="A38" s="27" t="s">
        <v>168</v>
      </c>
      <c r="B38" s="27" t="s">
        <v>29</v>
      </c>
      <c r="C38" s="27" t="s">
        <v>231</v>
      </c>
      <c r="D38" s="28">
        <v>45303</v>
      </c>
      <c r="E38" s="29" t="str">
        <f t="shared" si="4"/>
        <v>January</v>
      </c>
      <c r="F38" s="18">
        <f t="shared" si="5"/>
        <v>2024</v>
      </c>
      <c r="G38" s="29">
        <v>45570</v>
      </c>
      <c r="H38" s="30">
        <f t="shared" si="7"/>
        <v>268</v>
      </c>
      <c r="I38" s="32">
        <v>377700</v>
      </c>
      <c r="J38" s="32">
        <f t="shared" si="6"/>
        <v>277324.931506849</v>
      </c>
      <c r="K38" s="32">
        <f t="shared" si="2"/>
        <v>13866.2465753425</v>
      </c>
      <c r="L38" s="32">
        <v>3000</v>
      </c>
      <c r="M38" s="32">
        <f t="shared" si="3"/>
        <v>294191.178082192</v>
      </c>
      <c r="N38" s="33" t="s">
        <v>193</v>
      </c>
      <c r="O38" s="33" t="s">
        <v>28</v>
      </c>
    </row>
    <row r="39" ht="15.75" customHeight="1" spans="1:15">
      <c r="A39" s="27" t="s">
        <v>168</v>
      </c>
      <c r="B39" s="27" t="s">
        <v>29</v>
      </c>
      <c r="C39" s="27" t="s">
        <v>232</v>
      </c>
      <c r="D39" s="28">
        <v>45303</v>
      </c>
      <c r="E39" s="29" t="str">
        <f t="shared" si="4"/>
        <v>January</v>
      </c>
      <c r="F39" s="18">
        <f t="shared" si="5"/>
        <v>2024</v>
      </c>
      <c r="G39" s="29">
        <v>45570</v>
      </c>
      <c r="H39" s="30">
        <f t="shared" si="7"/>
        <v>268</v>
      </c>
      <c r="I39" s="32">
        <v>377700</v>
      </c>
      <c r="J39" s="32">
        <f t="shared" si="6"/>
        <v>277324.931506849</v>
      </c>
      <c r="K39" s="32">
        <f t="shared" si="2"/>
        <v>13866.2465753425</v>
      </c>
      <c r="L39" s="32">
        <v>3000</v>
      </c>
      <c r="M39" s="32">
        <f t="shared" si="3"/>
        <v>294191.178082192</v>
      </c>
      <c r="N39" s="33" t="s">
        <v>193</v>
      </c>
      <c r="O39" s="33" t="s">
        <v>28</v>
      </c>
    </row>
    <row r="40" ht="15.75" customHeight="1" spans="1:15">
      <c r="A40" s="27" t="s">
        <v>168</v>
      </c>
      <c r="B40" s="27" t="s">
        <v>29</v>
      </c>
      <c r="C40" s="27" t="s">
        <v>233</v>
      </c>
      <c r="D40" s="28">
        <v>45303</v>
      </c>
      <c r="E40" s="29" t="str">
        <f t="shared" si="4"/>
        <v>January</v>
      </c>
      <c r="F40" s="18">
        <f t="shared" si="5"/>
        <v>2024</v>
      </c>
      <c r="G40" s="29">
        <v>45570</v>
      </c>
      <c r="H40" s="30">
        <f t="shared" si="7"/>
        <v>268</v>
      </c>
      <c r="I40" s="32">
        <v>377700</v>
      </c>
      <c r="J40" s="32">
        <f t="shared" si="6"/>
        <v>277324.931506849</v>
      </c>
      <c r="K40" s="32">
        <f t="shared" si="2"/>
        <v>13866.2465753425</v>
      </c>
      <c r="L40" s="32">
        <v>3000</v>
      </c>
      <c r="M40" s="32">
        <f t="shared" si="3"/>
        <v>294191.178082192</v>
      </c>
      <c r="N40" s="33" t="s">
        <v>193</v>
      </c>
      <c r="O40" s="33" t="s">
        <v>28</v>
      </c>
    </row>
    <row r="41" ht="15.75" customHeight="1" spans="1:15">
      <c r="A41" s="27" t="s">
        <v>168</v>
      </c>
      <c r="B41" s="27" t="s">
        <v>29</v>
      </c>
      <c r="C41" s="27" t="s">
        <v>234</v>
      </c>
      <c r="D41" s="28">
        <v>45303</v>
      </c>
      <c r="E41" s="29" t="str">
        <f t="shared" si="4"/>
        <v>January</v>
      </c>
      <c r="F41" s="18">
        <f t="shared" si="5"/>
        <v>2024</v>
      </c>
      <c r="G41" s="29">
        <v>45570</v>
      </c>
      <c r="H41" s="30">
        <f t="shared" si="7"/>
        <v>268</v>
      </c>
      <c r="I41" s="32">
        <v>377700</v>
      </c>
      <c r="J41" s="32">
        <f t="shared" si="6"/>
        <v>277324.931506849</v>
      </c>
      <c r="K41" s="32">
        <f t="shared" si="2"/>
        <v>13866.2465753425</v>
      </c>
      <c r="L41" s="32">
        <v>3000</v>
      </c>
      <c r="M41" s="32">
        <f t="shared" si="3"/>
        <v>294191.178082192</v>
      </c>
      <c r="N41" s="33" t="s">
        <v>193</v>
      </c>
      <c r="O41" s="33" t="s">
        <v>28</v>
      </c>
    </row>
    <row r="42" ht="15.75" customHeight="1" spans="1:15">
      <c r="A42" s="27" t="s">
        <v>168</v>
      </c>
      <c r="B42" s="27" t="s">
        <v>29</v>
      </c>
      <c r="C42" s="27" t="s">
        <v>235</v>
      </c>
      <c r="D42" s="28">
        <v>45303</v>
      </c>
      <c r="E42" s="29" t="str">
        <f t="shared" si="4"/>
        <v>January</v>
      </c>
      <c r="F42" s="18">
        <f t="shared" si="5"/>
        <v>2024</v>
      </c>
      <c r="G42" s="29">
        <v>45570</v>
      </c>
      <c r="H42" s="30">
        <f t="shared" si="7"/>
        <v>268</v>
      </c>
      <c r="I42" s="32">
        <v>377700</v>
      </c>
      <c r="J42" s="32">
        <f t="shared" si="6"/>
        <v>277324.931506849</v>
      </c>
      <c r="K42" s="32">
        <f t="shared" si="2"/>
        <v>13866.2465753425</v>
      </c>
      <c r="L42" s="32">
        <v>3000</v>
      </c>
      <c r="M42" s="32">
        <f t="shared" si="3"/>
        <v>294191.178082192</v>
      </c>
      <c r="N42" s="33" t="s">
        <v>193</v>
      </c>
      <c r="O42" s="33" t="s">
        <v>28</v>
      </c>
    </row>
    <row r="43" ht="15.75" customHeight="1" spans="1:15">
      <c r="A43" s="27" t="s">
        <v>168</v>
      </c>
      <c r="B43" s="27" t="s">
        <v>29</v>
      </c>
      <c r="C43" s="27" t="s">
        <v>236</v>
      </c>
      <c r="D43" s="28">
        <v>45303</v>
      </c>
      <c r="E43" s="29" t="str">
        <f t="shared" si="4"/>
        <v>January</v>
      </c>
      <c r="F43" s="18">
        <f t="shared" si="5"/>
        <v>2024</v>
      </c>
      <c r="G43" s="29">
        <v>45570</v>
      </c>
      <c r="H43" s="30">
        <f t="shared" si="7"/>
        <v>268</v>
      </c>
      <c r="I43" s="32">
        <v>377700</v>
      </c>
      <c r="J43" s="32">
        <f t="shared" si="6"/>
        <v>277324.931506849</v>
      </c>
      <c r="K43" s="32">
        <f t="shared" si="2"/>
        <v>13866.2465753425</v>
      </c>
      <c r="L43" s="32">
        <v>3000</v>
      </c>
      <c r="M43" s="32">
        <f t="shared" si="3"/>
        <v>294191.178082192</v>
      </c>
      <c r="N43" s="33" t="s">
        <v>193</v>
      </c>
      <c r="O43" s="33" t="s">
        <v>28</v>
      </c>
    </row>
    <row r="44" ht="15.75" customHeight="1" spans="1:15">
      <c r="A44" s="27" t="s">
        <v>168</v>
      </c>
      <c r="B44" s="27" t="s">
        <v>29</v>
      </c>
      <c r="C44" s="27" t="s">
        <v>237</v>
      </c>
      <c r="D44" s="28">
        <v>45308</v>
      </c>
      <c r="E44" s="29" t="str">
        <f t="shared" si="4"/>
        <v>January</v>
      </c>
      <c r="F44" s="18">
        <f t="shared" si="5"/>
        <v>2024</v>
      </c>
      <c r="G44" s="29">
        <v>45570</v>
      </c>
      <c r="H44" s="30">
        <f t="shared" si="7"/>
        <v>263</v>
      </c>
      <c r="I44" s="32">
        <v>377700</v>
      </c>
      <c r="J44" s="32">
        <f t="shared" si="6"/>
        <v>272150.95890411</v>
      </c>
      <c r="K44" s="32">
        <f t="shared" si="2"/>
        <v>13607.5479452055</v>
      </c>
      <c r="L44" s="32">
        <v>3000</v>
      </c>
      <c r="M44" s="32">
        <f t="shared" si="3"/>
        <v>288758.506849315</v>
      </c>
      <c r="N44" s="33" t="s">
        <v>193</v>
      </c>
      <c r="O44" s="33" t="s">
        <v>28</v>
      </c>
    </row>
    <row r="45" ht="15.75" customHeight="1" spans="1:15">
      <c r="A45" s="27" t="s">
        <v>168</v>
      </c>
      <c r="B45" s="27" t="s">
        <v>29</v>
      </c>
      <c r="C45" s="27" t="s">
        <v>238</v>
      </c>
      <c r="D45" s="28">
        <v>45308</v>
      </c>
      <c r="E45" s="29" t="str">
        <f t="shared" si="4"/>
        <v>January</v>
      </c>
      <c r="F45" s="18">
        <f t="shared" si="5"/>
        <v>2024</v>
      </c>
      <c r="G45" s="29">
        <v>45570</v>
      </c>
      <c r="H45" s="30">
        <f t="shared" si="7"/>
        <v>263</v>
      </c>
      <c r="I45" s="32">
        <v>377700</v>
      </c>
      <c r="J45" s="32">
        <f t="shared" si="6"/>
        <v>272150.95890411</v>
      </c>
      <c r="K45" s="32">
        <f t="shared" si="2"/>
        <v>13607.5479452055</v>
      </c>
      <c r="L45" s="32">
        <v>3000</v>
      </c>
      <c r="M45" s="32">
        <f t="shared" si="3"/>
        <v>288758.506849315</v>
      </c>
      <c r="N45" s="33" t="s">
        <v>193</v>
      </c>
      <c r="O45" s="33" t="s">
        <v>28</v>
      </c>
    </row>
    <row r="46" ht="15.75" customHeight="1" spans="1:15">
      <c r="A46" s="27" t="s">
        <v>168</v>
      </c>
      <c r="B46" s="27" t="s">
        <v>29</v>
      </c>
      <c r="C46" s="27" t="s">
        <v>239</v>
      </c>
      <c r="D46" s="28">
        <v>45309</v>
      </c>
      <c r="E46" s="29" t="str">
        <f t="shared" si="4"/>
        <v>January</v>
      </c>
      <c r="F46" s="18">
        <f t="shared" si="5"/>
        <v>2024</v>
      </c>
      <c r="G46" s="29">
        <v>45570</v>
      </c>
      <c r="H46" s="30">
        <f t="shared" si="7"/>
        <v>262</v>
      </c>
      <c r="I46" s="32">
        <v>377700</v>
      </c>
      <c r="J46" s="32">
        <f t="shared" si="6"/>
        <v>271116.164383562</v>
      </c>
      <c r="K46" s="32">
        <f t="shared" si="2"/>
        <v>13555.8082191781</v>
      </c>
      <c r="L46" s="32">
        <v>3000</v>
      </c>
      <c r="M46" s="32">
        <f t="shared" si="3"/>
        <v>287671.97260274</v>
      </c>
      <c r="N46" s="33" t="s">
        <v>193</v>
      </c>
      <c r="O46" s="33" t="s">
        <v>28</v>
      </c>
    </row>
    <row r="47" ht="15.75" customHeight="1" spans="1:15">
      <c r="A47" s="27" t="s">
        <v>168</v>
      </c>
      <c r="B47" s="27" t="s">
        <v>29</v>
      </c>
      <c r="C47" s="27" t="s">
        <v>240</v>
      </c>
      <c r="D47" s="28">
        <v>45315</v>
      </c>
      <c r="E47" s="29" t="str">
        <f t="shared" si="4"/>
        <v>January</v>
      </c>
      <c r="F47" s="18">
        <f t="shared" si="5"/>
        <v>2024</v>
      </c>
      <c r="G47" s="29">
        <v>45570</v>
      </c>
      <c r="H47" s="30">
        <f t="shared" si="7"/>
        <v>256</v>
      </c>
      <c r="I47" s="32">
        <v>377700</v>
      </c>
      <c r="J47" s="32">
        <f t="shared" si="6"/>
        <v>264907.397260274</v>
      </c>
      <c r="K47" s="32">
        <f t="shared" si="2"/>
        <v>13245.3698630137</v>
      </c>
      <c r="L47" s="32">
        <v>3000</v>
      </c>
      <c r="M47" s="32">
        <f t="shared" si="3"/>
        <v>281152.767123288</v>
      </c>
      <c r="N47" s="33" t="s">
        <v>193</v>
      </c>
      <c r="O47" s="33" t="s">
        <v>28</v>
      </c>
    </row>
    <row r="48" ht="15.75" customHeight="1" spans="1:15">
      <c r="A48" s="27" t="s">
        <v>168</v>
      </c>
      <c r="B48" s="27" t="s">
        <v>29</v>
      </c>
      <c r="C48" s="27" t="s">
        <v>241</v>
      </c>
      <c r="D48" s="28">
        <v>45315</v>
      </c>
      <c r="E48" s="29" t="str">
        <f t="shared" si="4"/>
        <v>January</v>
      </c>
      <c r="F48" s="18">
        <f t="shared" si="5"/>
        <v>2024</v>
      </c>
      <c r="G48" s="29">
        <v>45570</v>
      </c>
      <c r="H48" s="30">
        <f t="shared" si="7"/>
        <v>256</v>
      </c>
      <c r="I48" s="32">
        <v>377700</v>
      </c>
      <c r="J48" s="32">
        <f t="shared" si="6"/>
        <v>264907.397260274</v>
      </c>
      <c r="K48" s="32">
        <f t="shared" si="2"/>
        <v>13245.3698630137</v>
      </c>
      <c r="L48" s="32">
        <v>3000</v>
      </c>
      <c r="M48" s="32">
        <f t="shared" si="3"/>
        <v>281152.767123288</v>
      </c>
      <c r="N48" s="33" t="s">
        <v>193</v>
      </c>
      <c r="O48" s="33" t="s">
        <v>28</v>
      </c>
    </row>
    <row r="49" ht="15.75" customHeight="1" spans="1:15">
      <c r="A49" s="27" t="s">
        <v>168</v>
      </c>
      <c r="B49" s="27" t="s">
        <v>29</v>
      </c>
      <c r="C49" s="27" t="s">
        <v>242</v>
      </c>
      <c r="D49" s="28">
        <v>45315</v>
      </c>
      <c r="E49" s="29" t="str">
        <f t="shared" si="4"/>
        <v>January</v>
      </c>
      <c r="F49" s="18">
        <f t="shared" si="5"/>
        <v>2024</v>
      </c>
      <c r="G49" s="29">
        <v>45570</v>
      </c>
      <c r="H49" s="30">
        <f t="shared" si="7"/>
        <v>256</v>
      </c>
      <c r="I49" s="32">
        <v>377700</v>
      </c>
      <c r="J49" s="32">
        <f t="shared" si="6"/>
        <v>264907.397260274</v>
      </c>
      <c r="K49" s="32">
        <f t="shared" si="2"/>
        <v>13245.3698630137</v>
      </c>
      <c r="L49" s="32">
        <v>6000</v>
      </c>
      <c r="M49" s="32">
        <f t="shared" si="3"/>
        <v>284152.767123288</v>
      </c>
      <c r="N49" s="33" t="s">
        <v>193</v>
      </c>
      <c r="O49" s="33" t="s">
        <v>28</v>
      </c>
    </row>
    <row r="50" ht="15.75" customHeight="1" spans="1:15">
      <c r="A50" s="27" t="s">
        <v>168</v>
      </c>
      <c r="B50" s="27" t="s">
        <v>29</v>
      </c>
      <c r="C50" s="27" t="s">
        <v>243</v>
      </c>
      <c r="D50" s="28">
        <v>45315</v>
      </c>
      <c r="E50" s="29" t="str">
        <f t="shared" si="4"/>
        <v>January</v>
      </c>
      <c r="F50" s="18">
        <f t="shared" si="5"/>
        <v>2024</v>
      </c>
      <c r="G50" s="29">
        <v>45570</v>
      </c>
      <c r="H50" s="30">
        <f t="shared" si="7"/>
        <v>256</v>
      </c>
      <c r="I50" s="32">
        <v>377700</v>
      </c>
      <c r="J50" s="32">
        <f t="shared" si="6"/>
        <v>264907.397260274</v>
      </c>
      <c r="K50" s="32">
        <f t="shared" si="2"/>
        <v>13245.3698630137</v>
      </c>
      <c r="L50" s="32">
        <v>3000</v>
      </c>
      <c r="M50" s="32">
        <f t="shared" si="3"/>
        <v>281152.767123288</v>
      </c>
      <c r="N50" s="33" t="s">
        <v>193</v>
      </c>
      <c r="O50" s="33" t="s">
        <v>28</v>
      </c>
    </row>
    <row r="51" ht="15.75" customHeight="1" spans="1:15">
      <c r="A51" s="27" t="s">
        <v>168</v>
      </c>
      <c r="B51" s="27" t="s">
        <v>29</v>
      </c>
      <c r="C51" s="27" t="s">
        <v>244</v>
      </c>
      <c r="D51" s="28">
        <v>45315</v>
      </c>
      <c r="E51" s="29" t="str">
        <f t="shared" si="4"/>
        <v>January</v>
      </c>
      <c r="F51" s="18">
        <f t="shared" si="5"/>
        <v>2024</v>
      </c>
      <c r="G51" s="29">
        <v>45570</v>
      </c>
      <c r="H51" s="30">
        <f t="shared" si="7"/>
        <v>256</v>
      </c>
      <c r="I51" s="32">
        <v>377700</v>
      </c>
      <c r="J51" s="32">
        <f t="shared" si="6"/>
        <v>264907.397260274</v>
      </c>
      <c r="K51" s="32">
        <f t="shared" si="2"/>
        <v>13245.3698630137</v>
      </c>
      <c r="L51" s="32">
        <v>3000</v>
      </c>
      <c r="M51" s="32">
        <f t="shared" si="3"/>
        <v>281152.767123288</v>
      </c>
      <c r="N51" s="33" t="s">
        <v>193</v>
      </c>
      <c r="O51" s="33" t="s">
        <v>28</v>
      </c>
    </row>
    <row r="52" ht="15.75" customHeight="1" spans="1:15">
      <c r="A52" s="27" t="s">
        <v>168</v>
      </c>
      <c r="B52" s="27" t="s">
        <v>29</v>
      </c>
      <c r="C52" s="27" t="s">
        <v>245</v>
      </c>
      <c r="D52" s="28">
        <v>45316</v>
      </c>
      <c r="E52" s="29" t="str">
        <f t="shared" si="4"/>
        <v>January</v>
      </c>
      <c r="F52" s="18">
        <f t="shared" si="5"/>
        <v>2024</v>
      </c>
      <c r="G52" s="29">
        <v>45570</v>
      </c>
      <c r="H52" s="30">
        <f t="shared" si="7"/>
        <v>255</v>
      </c>
      <c r="I52" s="32">
        <v>377700</v>
      </c>
      <c r="J52" s="32">
        <f t="shared" si="6"/>
        <v>263872.602739726</v>
      </c>
      <c r="K52" s="32">
        <f t="shared" si="2"/>
        <v>13193.6301369863</v>
      </c>
      <c r="L52" s="32">
        <v>3000</v>
      </c>
      <c r="M52" s="32">
        <f t="shared" si="3"/>
        <v>280066.232876712</v>
      </c>
      <c r="N52" s="33" t="s">
        <v>193</v>
      </c>
      <c r="O52" s="33" t="s">
        <v>28</v>
      </c>
    </row>
    <row r="53" ht="15.75" customHeight="1" spans="1:15">
      <c r="A53" s="27" t="s">
        <v>168</v>
      </c>
      <c r="B53" s="27" t="s">
        <v>29</v>
      </c>
      <c r="C53" s="27" t="s">
        <v>246</v>
      </c>
      <c r="D53" s="28">
        <v>45316</v>
      </c>
      <c r="E53" s="29" t="str">
        <f t="shared" si="4"/>
        <v>January</v>
      </c>
      <c r="F53" s="18">
        <f t="shared" si="5"/>
        <v>2024</v>
      </c>
      <c r="G53" s="29">
        <v>45570</v>
      </c>
      <c r="H53" s="30">
        <f t="shared" si="7"/>
        <v>255</v>
      </c>
      <c r="I53" s="32">
        <v>377700</v>
      </c>
      <c r="J53" s="32">
        <f t="shared" si="6"/>
        <v>263872.602739726</v>
      </c>
      <c r="K53" s="32">
        <f t="shared" si="2"/>
        <v>13193.6301369863</v>
      </c>
      <c r="L53" s="32">
        <v>3000</v>
      </c>
      <c r="M53" s="32">
        <f t="shared" si="3"/>
        <v>280066.232876712</v>
      </c>
      <c r="N53" s="33" t="s">
        <v>193</v>
      </c>
      <c r="O53" s="33" t="s">
        <v>28</v>
      </c>
    </row>
    <row r="54" ht="15.75" customHeight="1" spans="1:15">
      <c r="A54" s="27" t="s">
        <v>168</v>
      </c>
      <c r="B54" s="27" t="s">
        <v>29</v>
      </c>
      <c r="C54" s="27" t="s">
        <v>247</v>
      </c>
      <c r="D54" s="28">
        <v>45322</v>
      </c>
      <c r="E54" s="29" t="str">
        <f t="shared" si="4"/>
        <v>January</v>
      </c>
      <c r="F54" s="18">
        <f t="shared" si="5"/>
        <v>2024</v>
      </c>
      <c r="G54" s="29">
        <v>45570</v>
      </c>
      <c r="H54" s="30">
        <f t="shared" si="7"/>
        <v>249</v>
      </c>
      <c r="I54" s="32">
        <v>377700</v>
      </c>
      <c r="J54" s="32">
        <f t="shared" si="6"/>
        <v>257663.835616438</v>
      </c>
      <c r="K54" s="32">
        <f t="shared" si="2"/>
        <v>12883.1917808219</v>
      </c>
      <c r="L54" s="32">
        <v>3000</v>
      </c>
      <c r="M54" s="32">
        <f t="shared" si="3"/>
        <v>273547.02739726</v>
      </c>
      <c r="N54" s="33" t="s">
        <v>193</v>
      </c>
      <c r="O54" s="33" t="s">
        <v>28</v>
      </c>
    </row>
    <row r="55" ht="15.75" customHeight="1" spans="1:15">
      <c r="A55" s="27" t="s">
        <v>168</v>
      </c>
      <c r="B55" s="27" t="s">
        <v>29</v>
      </c>
      <c r="C55" s="27" t="s">
        <v>248</v>
      </c>
      <c r="D55" s="28">
        <v>45322</v>
      </c>
      <c r="E55" s="29" t="str">
        <f t="shared" si="4"/>
        <v>January</v>
      </c>
      <c r="F55" s="18">
        <f t="shared" si="5"/>
        <v>2024</v>
      </c>
      <c r="G55" s="29">
        <v>45570</v>
      </c>
      <c r="H55" s="30">
        <f t="shared" si="7"/>
        <v>249</v>
      </c>
      <c r="I55" s="32">
        <v>377700</v>
      </c>
      <c r="J55" s="32">
        <f t="shared" si="6"/>
        <v>257663.835616438</v>
      </c>
      <c r="K55" s="32">
        <f t="shared" si="2"/>
        <v>12883.1917808219</v>
      </c>
      <c r="L55" s="32">
        <v>3000</v>
      </c>
      <c r="M55" s="32">
        <f t="shared" si="3"/>
        <v>273547.02739726</v>
      </c>
      <c r="N55" s="33" t="s">
        <v>193</v>
      </c>
      <c r="O55" s="33" t="s">
        <v>28</v>
      </c>
    </row>
    <row r="56" ht="15.75" customHeight="1" spans="1:15">
      <c r="A56" s="27" t="s">
        <v>168</v>
      </c>
      <c r="B56" s="27" t="s">
        <v>29</v>
      </c>
      <c r="C56" s="27" t="s">
        <v>249</v>
      </c>
      <c r="D56" s="28">
        <v>45324</v>
      </c>
      <c r="E56" s="29" t="str">
        <f t="shared" si="4"/>
        <v>February</v>
      </c>
      <c r="F56" s="18">
        <f t="shared" si="5"/>
        <v>2024</v>
      </c>
      <c r="G56" s="29">
        <v>45570</v>
      </c>
      <c r="H56" s="30">
        <f t="shared" si="7"/>
        <v>247</v>
      </c>
      <c r="I56" s="32">
        <v>377700</v>
      </c>
      <c r="J56" s="32">
        <f t="shared" si="6"/>
        <v>255594.246575342</v>
      </c>
      <c r="K56" s="32">
        <f t="shared" si="2"/>
        <v>12779.7123287671</v>
      </c>
      <c r="L56" s="32">
        <v>3000</v>
      </c>
      <c r="M56" s="32">
        <f t="shared" si="3"/>
        <v>271373.95890411</v>
      </c>
      <c r="N56" s="33" t="s">
        <v>193</v>
      </c>
      <c r="O56" s="33" t="s">
        <v>28</v>
      </c>
    </row>
    <row r="57" ht="15.75" customHeight="1" spans="1:15">
      <c r="A57" s="27" t="s">
        <v>168</v>
      </c>
      <c r="B57" s="27" t="s">
        <v>29</v>
      </c>
      <c r="C57" s="27" t="s">
        <v>250</v>
      </c>
      <c r="D57" s="28">
        <v>45324</v>
      </c>
      <c r="E57" s="29" t="str">
        <f t="shared" si="4"/>
        <v>February</v>
      </c>
      <c r="F57" s="18">
        <f t="shared" si="5"/>
        <v>2024</v>
      </c>
      <c r="G57" s="29">
        <v>45570</v>
      </c>
      <c r="H57" s="30">
        <f t="shared" si="7"/>
        <v>247</v>
      </c>
      <c r="I57" s="32">
        <v>377700</v>
      </c>
      <c r="J57" s="32">
        <f t="shared" si="6"/>
        <v>255594.246575342</v>
      </c>
      <c r="K57" s="32">
        <f t="shared" si="2"/>
        <v>12779.7123287671</v>
      </c>
      <c r="L57" s="32">
        <v>3000</v>
      </c>
      <c r="M57" s="32">
        <f t="shared" si="3"/>
        <v>271373.95890411</v>
      </c>
      <c r="N57" s="33" t="s">
        <v>193</v>
      </c>
      <c r="O57" s="33" t="s">
        <v>28</v>
      </c>
    </row>
    <row r="58" ht="15.75" customHeight="1" spans="1:15">
      <c r="A58" s="27" t="s">
        <v>168</v>
      </c>
      <c r="B58" s="27" t="s">
        <v>29</v>
      </c>
      <c r="C58" s="27" t="s">
        <v>251</v>
      </c>
      <c r="D58" s="28">
        <v>45324</v>
      </c>
      <c r="E58" s="29" t="str">
        <f t="shared" si="4"/>
        <v>February</v>
      </c>
      <c r="F58" s="18">
        <f t="shared" si="5"/>
        <v>2024</v>
      </c>
      <c r="G58" s="29">
        <v>45570</v>
      </c>
      <c r="H58" s="30">
        <f t="shared" si="7"/>
        <v>247</v>
      </c>
      <c r="I58" s="32">
        <v>377700</v>
      </c>
      <c r="J58" s="32">
        <f t="shared" si="6"/>
        <v>255594.246575342</v>
      </c>
      <c r="K58" s="32">
        <f t="shared" si="2"/>
        <v>12779.7123287671</v>
      </c>
      <c r="L58" s="32">
        <v>6000</v>
      </c>
      <c r="M58" s="32">
        <f t="shared" si="3"/>
        <v>274373.95890411</v>
      </c>
      <c r="N58" s="33" t="s">
        <v>193</v>
      </c>
      <c r="O58" s="33" t="s">
        <v>28</v>
      </c>
    </row>
    <row r="59" ht="15.75" customHeight="1" spans="1:15">
      <c r="A59" s="27" t="s">
        <v>168</v>
      </c>
      <c r="B59" s="27" t="s">
        <v>29</v>
      </c>
      <c r="C59" s="27" t="s">
        <v>252</v>
      </c>
      <c r="D59" s="28">
        <v>45324</v>
      </c>
      <c r="E59" s="29" t="str">
        <f t="shared" si="4"/>
        <v>February</v>
      </c>
      <c r="F59" s="18">
        <f t="shared" si="5"/>
        <v>2024</v>
      </c>
      <c r="G59" s="29">
        <v>45570</v>
      </c>
      <c r="H59" s="30">
        <f t="shared" si="7"/>
        <v>247</v>
      </c>
      <c r="I59" s="32">
        <v>377700</v>
      </c>
      <c r="J59" s="32">
        <f t="shared" si="6"/>
        <v>255594.246575342</v>
      </c>
      <c r="K59" s="32">
        <f t="shared" si="2"/>
        <v>12779.7123287671</v>
      </c>
      <c r="L59" s="32">
        <v>3000</v>
      </c>
      <c r="M59" s="32">
        <f t="shared" si="3"/>
        <v>271373.95890411</v>
      </c>
      <c r="N59" s="33" t="s">
        <v>193</v>
      </c>
      <c r="O59" s="33" t="s">
        <v>28</v>
      </c>
    </row>
    <row r="60" ht="15.75" customHeight="1" spans="1:15">
      <c r="A60" s="27" t="s">
        <v>168</v>
      </c>
      <c r="B60" s="27" t="s">
        <v>29</v>
      </c>
      <c r="C60" s="27" t="s">
        <v>253</v>
      </c>
      <c r="D60" s="28">
        <v>45324</v>
      </c>
      <c r="E60" s="29" t="str">
        <f t="shared" si="4"/>
        <v>February</v>
      </c>
      <c r="F60" s="18">
        <f t="shared" si="5"/>
        <v>2024</v>
      </c>
      <c r="G60" s="29">
        <v>45570</v>
      </c>
      <c r="H60" s="30">
        <f t="shared" si="7"/>
        <v>247</v>
      </c>
      <c r="I60" s="32">
        <v>377700</v>
      </c>
      <c r="J60" s="32">
        <f t="shared" si="6"/>
        <v>255594.246575342</v>
      </c>
      <c r="K60" s="32">
        <f t="shared" si="2"/>
        <v>12779.7123287671</v>
      </c>
      <c r="L60" s="32">
        <v>3000</v>
      </c>
      <c r="M60" s="32">
        <f t="shared" si="3"/>
        <v>271373.95890411</v>
      </c>
      <c r="N60" s="33" t="s">
        <v>193</v>
      </c>
      <c r="O60" s="33" t="s">
        <v>28</v>
      </c>
    </row>
    <row r="61" ht="15.75" customHeight="1" spans="1:15">
      <c r="A61" s="27" t="s">
        <v>168</v>
      </c>
      <c r="B61" s="27" t="s">
        <v>29</v>
      </c>
      <c r="C61" s="27" t="s">
        <v>254</v>
      </c>
      <c r="D61" s="28">
        <v>45324</v>
      </c>
      <c r="E61" s="29" t="str">
        <f t="shared" si="4"/>
        <v>February</v>
      </c>
      <c r="F61" s="18">
        <f t="shared" si="5"/>
        <v>2024</v>
      </c>
      <c r="G61" s="29">
        <v>45570</v>
      </c>
      <c r="H61" s="30">
        <f t="shared" si="7"/>
        <v>247</v>
      </c>
      <c r="I61" s="32">
        <v>377700</v>
      </c>
      <c r="J61" s="32">
        <f t="shared" si="6"/>
        <v>255594.246575342</v>
      </c>
      <c r="K61" s="32">
        <f t="shared" si="2"/>
        <v>12779.7123287671</v>
      </c>
      <c r="L61" s="32">
        <v>3000</v>
      </c>
      <c r="M61" s="32">
        <f t="shared" si="3"/>
        <v>271373.95890411</v>
      </c>
      <c r="N61" s="33" t="s">
        <v>193</v>
      </c>
      <c r="O61" s="33" t="s">
        <v>28</v>
      </c>
    </row>
    <row r="62" ht="15.75" customHeight="1" spans="1:15">
      <c r="A62" s="27" t="s">
        <v>168</v>
      </c>
      <c r="B62" s="27" t="s">
        <v>29</v>
      </c>
      <c r="C62" s="27" t="s">
        <v>255</v>
      </c>
      <c r="D62" s="28">
        <v>45324</v>
      </c>
      <c r="E62" s="29" t="str">
        <f t="shared" si="4"/>
        <v>February</v>
      </c>
      <c r="F62" s="18">
        <f t="shared" si="5"/>
        <v>2024</v>
      </c>
      <c r="G62" s="29">
        <v>45570</v>
      </c>
      <c r="H62" s="30">
        <f t="shared" si="7"/>
        <v>247</v>
      </c>
      <c r="I62" s="32">
        <v>377700</v>
      </c>
      <c r="J62" s="32">
        <f t="shared" si="6"/>
        <v>255594.246575342</v>
      </c>
      <c r="K62" s="32">
        <f t="shared" si="2"/>
        <v>12779.7123287671</v>
      </c>
      <c r="L62" s="32">
        <v>3000</v>
      </c>
      <c r="M62" s="32">
        <f t="shared" si="3"/>
        <v>271373.95890411</v>
      </c>
      <c r="N62" s="33" t="s">
        <v>193</v>
      </c>
      <c r="O62" s="33" t="s">
        <v>28</v>
      </c>
    </row>
    <row r="63" ht="15.75" customHeight="1" spans="1:15">
      <c r="A63" s="27" t="s">
        <v>168</v>
      </c>
      <c r="B63" s="27" t="s">
        <v>29</v>
      </c>
      <c r="C63" s="27" t="s">
        <v>256</v>
      </c>
      <c r="D63" s="28">
        <v>45329</v>
      </c>
      <c r="E63" s="29" t="str">
        <f t="shared" si="4"/>
        <v>February</v>
      </c>
      <c r="F63" s="18">
        <f t="shared" si="5"/>
        <v>2024</v>
      </c>
      <c r="G63" s="29">
        <v>45570</v>
      </c>
      <c r="H63" s="30">
        <f t="shared" si="7"/>
        <v>242</v>
      </c>
      <c r="I63" s="32">
        <v>377700</v>
      </c>
      <c r="J63" s="32">
        <f t="shared" si="6"/>
        <v>250420.273972603</v>
      </c>
      <c r="K63" s="32">
        <f t="shared" si="2"/>
        <v>12521.0136986301</v>
      </c>
      <c r="L63" s="32">
        <v>3000</v>
      </c>
      <c r="M63" s="32">
        <f t="shared" si="3"/>
        <v>265941.287671233</v>
      </c>
      <c r="N63" s="33" t="s">
        <v>193</v>
      </c>
      <c r="O63" s="33" t="s">
        <v>28</v>
      </c>
    </row>
    <row r="64" ht="15.75" customHeight="1" spans="1:15">
      <c r="A64" s="27" t="s">
        <v>168</v>
      </c>
      <c r="B64" s="27" t="s">
        <v>29</v>
      </c>
      <c r="C64" s="27" t="s">
        <v>257</v>
      </c>
      <c r="D64" s="28">
        <v>45329</v>
      </c>
      <c r="E64" s="29" t="str">
        <f t="shared" si="4"/>
        <v>February</v>
      </c>
      <c r="F64" s="18">
        <f t="shared" si="5"/>
        <v>2024</v>
      </c>
      <c r="G64" s="29">
        <v>45570</v>
      </c>
      <c r="H64" s="30">
        <f t="shared" si="7"/>
        <v>242</v>
      </c>
      <c r="I64" s="32">
        <v>377700</v>
      </c>
      <c r="J64" s="32">
        <f t="shared" si="6"/>
        <v>250420.273972603</v>
      </c>
      <c r="K64" s="32">
        <f t="shared" si="2"/>
        <v>12521.0136986301</v>
      </c>
      <c r="L64" s="32">
        <v>3000</v>
      </c>
      <c r="M64" s="32">
        <f t="shared" si="3"/>
        <v>265941.287671233</v>
      </c>
      <c r="N64" s="33" t="s">
        <v>193</v>
      </c>
      <c r="O64" s="33" t="s">
        <v>28</v>
      </c>
    </row>
    <row r="65" ht="15.75" customHeight="1" spans="1:15">
      <c r="A65" s="27" t="s">
        <v>168</v>
      </c>
      <c r="B65" s="27" t="s">
        <v>29</v>
      </c>
      <c r="C65" s="27" t="s">
        <v>258</v>
      </c>
      <c r="D65" s="28">
        <v>45329</v>
      </c>
      <c r="E65" s="29" t="str">
        <f t="shared" si="4"/>
        <v>February</v>
      </c>
      <c r="F65" s="18">
        <f t="shared" si="5"/>
        <v>2024</v>
      </c>
      <c r="G65" s="29">
        <v>45570</v>
      </c>
      <c r="H65" s="30">
        <f t="shared" si="7"/>
        <v>242</v>
      </c>
      <c r="I65" s="32">
        <v>377700</v>
      </c>
      <c r="J65" s="32">
        <f t="shared" si="6"/>
        <v>250420.273972603</v>
      </c>
      <c r="K65" s="32">
        <f t="shared" si="2"/>
        <v>12521.0136986301</v>
      </c>
      <c r="L65" s="32">
        <v>3000</v>
      </c>
      <c r="M65" s="32">
        <f t="shared" si="3"/>
        <v>265941.287671233</v>
      </c>
      <c r="N65" s="33" t="s">
        <v>193</v>
      </c>
      <c r="O65" s="33" t="s">
        <v>28</v>
      </c>
    </row>
    <row r="66" ht="15.75" customHeight="1" spans="1:15">
      <c r="A66" s="27" t="s">
        <v>168</v>
      </c>
      <c r="B66" s="27" t="s">
        <v>29</v>
      </c>
      <c r="C66" s="27" t="s">
        <v>259</v>
      </c>
      <c r="D66" s="28">
        <v>45329</v>
      </c>
      <c r="E66" s="29" t="str">
        <f t="shared" si="4"/>
        <v>February</v>
      </c>
      <c r="F66" s="18">
        <f t="shared" si="5"/>
        <v>2024</v>
      </c>
      <c r="G66" s="29">
        <v>45570</v>
      </c>
      <c r="H66" s="30">
        <f t="shared" si="7"/>
        <v>242</v>
      </c>
      <c r="I66" s="32">
        <v>377700</v>
      </c>
      <c r="J66" s="32">
        <f t="shared" si="6"/>
        <v>250420.273972603</v>
      </c>
      <c r="K66" s="32">
        <f t="shared" si="2"/>
        <v>12521.0136986301</v>
      </c>
      <c r="L66" s="32">
        <v>3000</v>
      </c>
      <c r="M66" s="32">
        <f t="shared" si="3"/>
        <v>265941.287671233</v>
      </c>
      <c r="N66" s="33" t="s">
        <v>193</v>
      </c>
      <c r="O66" s="33" t="s">
        <v>28</v>
      </c>
    </row>
    <row r="67" ht="15.75" customHeight="1" spans="1:15">
      <c r="A67" s="27" t="s">
        <v>168</v>
      </c>
      <c r="B67" s="27" t="s">
        <v>29</v>
      </c>
      <c r="C67" s="27" t="s">
        <v>260</v>
      </c>
      <c r="D67" s="28">
        <v>45329</v>
      </c>
      <c r="E67" s="29" t="str">
        <f t="shared" ref="E67:E130" si="8">TEXT(D67,"mmmm")</f>
        <v>February</v>
      </c>
      <c r="F67" s="18">
        <f t="shared" ref="F67:F130" si="9">YEAR(D67)</f>
        <v>2024</v>
      </c>
      <c r="G67" s="29">
        <v>45570</v>
      </c>
      <c r="H67" s="30">
        <f t="shared" si="7"/>
        <v>242</v>
      </c>
      <c r="I67" s="32">
        <v>377700</v>
      </c>
      <c r="J67" s="32">
        <f t="shared" si="6"/>
        <v>250420.273972603</v>
      </c>
      <c r="K67" s="32">
        <f t="shared" si="2"/>
        <v>12521.0136986301</v>
      </c>
      <c r="L67" s="32">
        <v>3000</v>
      </c>
      <c r="M67" s="32">
        <f t="shared" si="3"/>
        <v>265941.287671233</v>
      </c>
      <c r="N67" s="33" t="s">
        <v>193</v>
      </c>
      <c r="O67" s="33" t="s">
        <v>28</v>
      </c>
    </row>
    <row r="68" ht="15.75" customHeight="1" spans="1:15">
      <c r="A68" s="27" t="s">
        <v>168</v>
      </c>
      <c r="B68" s="27" t="s">
        <v>29</v>
      </c>
      <c r="C68" s="27" t="s">
        <v>261</v>
      </c>
      <c r="D68" s="28">
        <v>45329</v>
      </c>
      <c r="E68" s="29" t="str">
        <f t="shared" si="8"/>
        <v>February</v>
      </c>
      <c r="F68" s="18">
        <f t="shared" si="9"/>
        <v>2024</v>
      </c>
      <c r="G68" s="29">
        <v>45570</v>
      </c>
      <c r="H68" s="30">
        <f t="shared" si="7"/>
        <v>242</v>
      </c>
      <c r="I68" s="32">
        <v>377700</v>
      </c>
      <c r="J68" s="32">
        <f t="shared" si="6"/>
        <v>250420.273972603</v>
      </c>
      <c r="K68" s="32">
        <f t="shared" si="2"/>
        <v>12521.0136986301</v>
      </c>
      <c r="L68" s="32">
        <v>3000</v>
      </c>
      <c r="M68" s="32">
        <f t="shared" si="3"/>
        <v>265941.287671233</v>
      </c>
      <c r="N68" s="33" t="s">
        <v>193</v>
      </c>
      <c r="O68" s="33" t="s">
        <v>28</v>
      </c>
    </row>
    <row r="69" ht="15.75" customHeight="1" spans="1:15">
      <c r="A69" s="27" t="s">
        <v>168</v>
      </c>
      <c r="B69" s="27" t="s">
        <v>29</v>
      </c>
      <c r="C69" s="27" t="s">
        <v>262</v>
      </c>
      <c r="D69" s="28">
        <v>45329</v>
      </c>
      <c r="E69" s="29" t="str">
        <f t="shared" si="8"/>
        <v>February</v>
      </c>
      <c r="F69" s="18">
        <f t="shared" si="9"/>
        <v>2024</v>
      </c>
      <c r="G69" s="29">
        <v>45570</v>
      </c>
      <c r="H69" s="30">
        <f t="shared" si="7"/>
        <v>242</v>
      </c>
      <c r="I69" s="32">
        <v>377700</v>
      </c>
      <c r="J69" s="32">
        <f t="shared" si="6"/>
        <v>250420.273972603</v>
      </c>
      <c r="K69" s="32">
        <f t="shared" si="2"/>
        <v>12521.0136986301</v>
      </c>
      <c r="L69" s="32">
        <v>3000</v>
      </c>
      <c r="M69" s="32">
        <f t="shared" si="3"/>
        <v>265941.287671233</v>
      </c>
      <c r="N69" s="33" t="s">
        <v>193</v>
      </c>
      <c r="O69" s="33" t="s">
        <v>28</v>
      </c>
    </row>
    <row r="70" ht="15.75" customHeight="1" spans="1:15">
      <c r="A70" s="27" t="s">
        <v>168</v>
      </c>
      <c r="B70" s="27" t="s">
        <v>29</v>
      </c>
      <c r="C70" s="27" t="s">
        <v>263</v>
      </c>
      <c r="D70" s="28">
        <v>45329</v>
      </c>
      <c r="E70" s="29" t="str">
        <f t="shared" si="8"/>
        <v>February</v>
      </c>
      <c r="F70" s="18">
        <f t="shared" si="9"/>
        <v>2024</v>
      </c>
      <c r="G70" s="29">
        <v>45570</v>
      </c>
      <c r="H70" s="30">
        <f t="shared" si="7"/>
        <v>242</v>
      </c>
      <c r="I70" s="32">
        <v>377700</v>
      </c>
      <c r="J70" s="32">
        <f t="shared" si="6"/>
        <v>250420.273972603</v>
      </c>
      <c r="K70" s="32">
        <f t="shared" si="2"/>
        <v>12521.0136986301</v>
      </c>
      <c r="L70" s="32">
        <v>3000</v>
      </c>
      <c r="M70" s="32">
        <f t="shared" si="3"/>
        <v>265941.287671233</v>
      </c>
      <c r="N70" s="33" t="s">
        <v>193</v>
      </c>
      <c r="O70" s="33" t="s">
        <v>28</v>
      </c>
    </row>
    <row r="71" ht="15.75" customHeight="1" spans="1:15">
      <c r="A71" s="27" t="s">
        <v>168</v>
      </c>
      <c r="B71" s="27" t="s">
        <v>29</v>
      </c>
      <c r="C71" s="27" t="s">
        <v>264</v>
      </c>
      <c r="D71" s="28">
        <v>45329</v>
      </c>
      <c r="E71" s="29" t="str">
        <f t="shared" si="8"/>
        <v>February</v>
      </c>
      <c r="F71" s="18">
        <f t="shared" si="9"/>
        <v>2024</v>
      </c>
      <c r="G71" s="29">
        <v>45570</v>
      </c>
      <c r="H71" s="30">
        <f t="shared" si="7"/>
        <v>242</v>
      </c>
      <c r="I71" s="32">
        <v>377700</v>
      </c>
      <c r="J71" s="32">
        <f t="shared" si="6"/>
        <v>250420.273972603</v>
      </c>
      <c r="K71" s="32">
        <f t="shared" si="2"/>
        <v>12521.0136986301</v>
      </c>
      <c r="L71" s="32">
        <v>3000</v>
      </c>
      <c r="M71" s="32">
        <f t="shared" si="3"/>
        <v>265941.287671233</v>
      </c>
      <c r="N71" s="33" t="s">
        <v>193</v>
      </c>
      <c r="O71" s="33" t="s">
        <v>28</v>
      </c>
    </row>
    <row r="72" ht="15.75" customHeight="1" spans="1:15">
      <c r="A72" s="27" t="s">
        <v>168</v>
      </c>
      <c r="B72" s="27" t="s">
        <v>29</v>
      </c>
      <c r="C72" s="27" t="s">
        <v>265</v>
      </c>
      <c r="D72" s="28">
        <v>45329</v>
      </c>
      <c r="E72" s="29" t="str">
        <f t="shared" si="8"/>
        <v>February</v>
      </c>
      <c r="F72" s="18">
        <f t="shared" si="9"/>
        <v>2024</v>
      </c>
      <c r="G72" s="29">
        <v>45570</v>
      </c>
      <c r="H72" s="30">
        <f t="shared" si="7"/>
        <v>242</v>
      </c>
      <c r="I72" s="32">
        <v>377700</v>
      </c>
      <c r="J72" s="32">
        <f t="shared" si="6"/>
        <v>250420.273972603</v>
      </c>
      <c r="K72" s="32">
        <f t="shared" si="2"/>
        <v>12521.0136986301</v>
      </c>
      <c r="L72" s="32">
        <v>3000</v>
      </c>
      <c r="M72" s="32">
        <f t="shared" si="3"/>
        <v>265941.287671233</v>
      </c>
      <c r="N72" s="33" t="s">
        <v>193</v>
      </c>
      <c r="O72" s="33" t="s">
        <v>28</v>
      </c>
    </row>
    <row r="73" ht="15.75" customHeight="1" spans="1:15">
      <c r="A73" s="27" t="s">
        <v>136</v>
      </c>
      <c r="B73" s="27" t="s">
        <v>38</v>
      </c>
      <c r="C73" s="27" t="s">
        <v>266</v>
      </c>
      <c r="D73" s="28">
        <v>45313</v>
      </c>
      <c r="E73" s="29" t="str">
        <f t="shared" si="8"/>
        <v>January</v>
      </c>
      <c r="F73" s="18">
        <f t="shared" si="9"/>
        <v>2024</v>
      </c>
      <c r="G73" s="29">
        <v>45494</v>
      </c>
      <c r="H73" s="30">
        <f t="shared" si="7"/>
        <v>182</v>
      </c>
      <c r="I73" s="32">
        <v>867136</v>
      </c>
      <c r="J73" s="32">
        <f t="shared" si="6"/>
        <v>432380.142465753</v>
      </c>
      <c r="K73" s="32">
        <f t="shared" si="2"/>
        <v>21619.0071232877</v>
      </c>
      <c r="L73" s="32">
        <v>10000</v>
      </c>
      <c r="M73" s="32">
        <f t="shared" si="3"/>
        <v>463999.149589041</v>
      </c>
      <c r="N73" s="33" t="s">
        <v>193</v>
      </c>
      <c r="O73" s="33" t="s">
        <v>28</v>
      </c>
    </row>
    <row r="74" ht="15.75" customHeight="1" spans="1:15">
      <c r="A74" s="27" t="s">
        <v>136</v>
      </c>
      <c r="B74" s="27" t="s">
        <v>38</v>
      </c>
      <c r="C74" s="27" t="s">
        <v>267</v>
      </c>
      <c r="D74" s="28">
        <v>45321</v>
      </c>
      <c r="E74" s="29" t="str">
        <f t="shared" si="8"/>
        <v>January</v>
      </c>
      <c r="F74" s="18">
        <f t="shared" si="9"/>
        <v>2024</v>
      </c>
      <c r="G74" s="29">
        <v>45494</v>
      </c>
      <c r="H74" s="30">
        <f t="shared" si="7"/>
        <v>174</v>
      </c>
      <c r="I74" s="32">
        <v>867136</v>
      </c>
      <c r="J74" s="32">
        <f t="shared" si="6"/>
        <v>413374.421917808</v>
      </c>
      <c r="K74" s="32">
        <f t="shared" si="2"/>
        <v>20668.7210958904</v>
      </c>
      <c r="L74" s="32">
        <v>10000</v>
      </c>
      <c r="M74" s="32">
        <f t="shared" si="3"/>
        <v>444043.143013699</v>
      </c>
      <c r="N74" s="33" t="s">
        <v>193</v>
      </c>
      <c r="O74" s="33" t="s">
        <v>28</v>
      </c>
    </row>
    <row r="75" ht="15.75" customHeight="1" spans="1:16">
      <c r="A75" s="27" t="s">
        <v>268</v>
      </c>
      <c r="B75" s="27" t="s">
        <v>29</v>
      </c>
      <c r="C75" s="27" t="s">
        <v>269</v>
      </c>
      <c r="D75" s="28">
        <v>45348</v>
      </c>
      <c r="E75" s="29" t="str">
        <f t="shared" si="8"/>
        <v>February</v>
      </c>
      <c r="F75" s="18">
        <f t="shared" si="9"/>
        <v>2024</v>
      </c>
      <c r="G75" s="29">
        <v>45535</v>
      </c>
      <c r="H75" s="30">
        <f t="shared" si="7"/>
        <v>188</v>
      </c>
      <c r="I75" s="32">
        <v>417659</v>
      </c>
      <c r="J75" s="32">
        <f t="shared" si="6"/>
        <v>215122.991780822</v>
      </c>
      <c r="K75" s="32">
        <f t="shared" si="2"/>
        <v>10756.1495890411</v>
      </c>
      <c r="L75" s="32">
        <v>10000</v>
      </c>
      <c r="M75" s="32">
        <f t="shared" si="3"/>
        <v>235879.141369863</v>
      </c>
      <c r="N75" s="33" t="s">
        <v>193</v>
      </c>
      <c r="O75" s="33" t="s">
        <v>28</v>
      </c>
      <c r="P75" s="33"/>
    </row>
    <row r="76" ht="15.75" customHeight="1" spans="1:15">
      <c r="A76" s="27" t="s">
        <v>167</v>
      </c>
      <c r="B76" s="27" t="s">
        <v>29</v>
      </c>
      <c r="C76" s="27" t="s">
        <v>270</v>
      </c>
      <c r="D76" s="28">
        <v>45358</v>
      </c>
      <c r="E76" s="29" t="str">
        <f t="shared" si="8"/>
        <v>March</v>
      </c>
      <c r="F76" s="18">
        <f t="shared" si="9"/>
        <v>2024</v>
      </c>
      <c r="G76" s="29">
        <v>45559</v>
      </c>
      <c r="H76" s="30">
        <f t="shared" si="7"/>
        <v>202</v>
      </c>
      <c r="I76" s="32">
        <v>82199</v>
      </c>
      <c r="J76" s="32">
        <f t="shared" si="6"/>
        <v>45490.9534246575</v>
      </c>
      <c r="K76" s="32">
        <f t="shared" si="2"/>
        <v>2274.54767123288</v>
      </c>
      <c r="L76" s="32">
        <v>5000</v>
      </c>
      <c r="M76" s="32">
        <f t="shared" si="3"/>
        <v>52765.5010958904</v>
      </c>
      <c r="N76" s="33" t="s">
        <v>193</v>
      </c>
      <c r="O76" s="33" t="s">
        <v>28</v>
      </c>
    </row>
    <row r="77" ht="15.75" customHeight="1" spans="1:15">
      <c r="A77" s="27" t="s">
        <v>271</v>
      </c>
      <c r="B77" s="27" t="s">
        <v>34</v>
      </c>
      <c r="C77" s="27" t="s">
        <v>272</v>
      </c>
      <c r="D77" s="28">
        <v>45386</v>
      </c>
      <c r="E77" s="29" t="str">
        <f t="shared" si="8"/>
        <v>April</v>
      </c>
      <c r="F77" s="18">
        <f t="shared" si="9"/>
        <v>2024</v>
      </c>
      <c r="G77" s="29">
        <v>45595</v>
      </c>
      <c r="H77" s="30">
        <f t="shared" si="7"/>
        <v>210</v>
      </c>
      <c r="I77" s="32">
        <v>1583036</v>
      </c>
      <c r="J77" s="32">
        <f t="shared" si="6"/>
        <v>910787.835616438</v>
      </c>
      <c r="K77" s="32">
        <f t="shared" si="2"/>
        <v>45539.3917808219</v>
      </c>
      <c r="L77" s="32">
        <v>50000</v>
      </c>
      <c r="M77" s="32">
        <f t="shared" si="3"/>
        <v>1006327.22739726</v>
      </c>
      <c r="N77" s="33" t="s">
        <v>193</v>
      </c>
      <c r="O77" s="33" t="s">
        <v>28</v>
      </c>
    </row>
    <row r="78" ht="15.75" customHeight="1" spans="1:15">
      <c r="A78" s="27" t="s">
        <v>168</v>
      </c>
      <c r="B78" s="27" t="s">
        <v>29</v>
      </c>
      <c r="C78" s="27" t="s">
        <v>273</v>
      </c>
      <c r="D78" s="28">
        <v>45350</v>
      </c>
      <c r="E78" s="29" t="str">
        <f t="shared" si="8"/>
        <v>February</v>
      </c>
      <c r="F78" s="18">
        <f t="shared" si="9"/>
        <v>2024</v>
      </c>
      <c r="G78" s="29">
        <v>45570</v>
      </c>
      <c r="H78" s="30">
        <f t="shared" si="7"/>
        <v>221</v>
      </c>
      <c r="I78" s="32">
        <v>377700</v>
      </c>
      <c r="J78" s="32">
        <f t="shared" si="6"/>
        <v>228689.589041096</v>
      </c>
      <c r="K78" s="32">
        <f t="shared" si="2"/>
        <v>11434.4794520548</v>
      </c>
      <c r="L78" s="32">
        <v>3000</v>
      </c>
      <c r="M78" s="32">
        <f t="shared" si="3"/>
        <v>243124.068493151</v>
      </c>
      <c r="N78" s="33" t="s">
        <v>193</v>
      </c>
      <c r="O78" s="33" t="s">
        <v>28</v>
      </c>
    </row>
    <row r="79" ht="15.75" customHeight="1" spans="1:15">
      <c r="A79" s="27" t="s">
        <v>168</v>
      </c>
      <c r="B79" s="27" t="s">
        <v>29</v>
      </c>
      <c r="C79" s="27" t="s">
        <v>274</v>
      </c>
      <c r="D79" s="28">
        <v>45359</v>
      </c>
      <c r="E79" s="29" t="str">
        <f t="shared" si="8"/>
        <v>March</v>
      </c>
      <c r="F79" s="18">
        <f t="shared" si="9"/>
        <v>2024</v>
      </c>
      <c r="G79" s="29">
        <v>45570</v>
      </c>
      <c r="H79" s="30">
        <f t="shared" si="7"/>
        <v>212</v>
      </c>
      <c r="I79" s="32">
        <v>377700</v>
      </c>
      <c r="J79" s="32">
        <f t="shared" si="6"/>
        <v>219376.438356164</v>
      </c>
      <c r="K79" s="32">
        <f t="shared" si="2"/>
        <v>10968.8219178082</v>
      </c>
      <c r="L79" s="32">
        <v>3000</v>
      </c>
      <c r="M79" s="32">
        <f t="shared" si="3"/>
        <v>233345.260273973</v>
      </c>
      <c r="N79" s="33" t="s">
        <v>193</v>
      </c>
      <c r="O79" s="33" t="s">
        <v>28</v>
      </c>
    </row>
    <row r="80" ht="15.75" customHeight="1" spans="1:15">
      <c r="A80" s="27" t="s">
        <v>168</v>
      </c>
      <c r="B80" s="27" t="s">
        <v>29</v>
      </c>
      <c r="C80" s="27" t="s">
        <v>275</v>
      </c>
      <c r="D80" s="28">
        <v>45362</v>
      </c>
      <c r="E80" s="29" t="str">
        <f t="shared" si="8"/>
        <v>March</v>
      </c>
      <c r="F80" s="18">
        <f t="shared" si="9"/>
        <v>2024</v>
      </c>
      <c r="G80" s="29">
        <v>45570</v>
      </c>
      <c r="H80" s="30">
        <f t="shared" si="7"/>
        <v>209</v>
      </c>
      <c r="I80" s="32">
        <v>377700</v>
      </c>
      <c r="J80" s="32">
        <f t="shared" si="6"/>
        <v>216272.054794521</v>
      </c>
      <c r="K80" s="32">
        <f t="shared" si="2"/>
        <v>10813.602739726</v>
      </c>
      <c r="L80" s="32">
        <v>3000</v>
      </c>
      <c r="M80" s="32">
        <f t="shared" si="3"/>
        <v>230085.657534247</v>
      </c>
      <c r="N80" s="33" t="s">
        <v>193</v>
      </c>
      <c r="O80" s="33" t="s">
        <v>28</v>
      </c>
    </row>
    <row r="81" ht="15.75" customHeight="1" spans="1:15">
      <c r="A81" s="27" t="s">
        <v>168</v>
      </c>
      <c r="B81" s="27" t="s">
        <v>29</v>
      </c>
      <c r="C81" s="27" t="s">
        <v>276</v>
      </c>
      <c r="D81" s="28">
        <v>45370</v>
      </c>
      <c r="E81" s="29" t="str">
        <f t="shared" si="8"/>
        <v>March</v>
      </c>
      <c r="F81" s="18">
        <f t="shared" si="9"/>
        <v>2024</v>
      </c>
      <c r="G81" s="29">
        <v>45570</v>
      </c>
      <c r="H81" s="30">
        <f t="shared" si="7"/>
        <v>201</v>
      </c>
      <c r="I81" s="32">
        <v>377700</v>
      </c>
      <c r="J81" s="32">
        <f t="shared" si="6"/>
        <v>207993.698630137</v>
      </c>
      <c r="K81" s="32">
        <f t="shared" si="2"/>
        <v>10399.6849315069</v>
      </c>
      <c r="L81" s="32">
        <v>3000</v>
      </c>
      <c r="M81" s="32">
        <f t="shared" si="3"/>
        <v>221393.383561644</v>
      </c>
      <c r="N81" s="33" t="s">
        <v>193</v>
      </c>
      <c r="O81" s="33" t="s">
        <v>28</v>
      </c>
    </row>
    <row r="82" ht="15.75" customHeight="1" spans="1:15">
      <c r="A82" s="27" t="s">
        <v>168</v>
      </c>
      <c r="B82" s="27" t="s">
        <v>29</v>
      </c>
      <c r="C82" s="27" t="s">
        <v>277</v>
      </c>
      <c r="D82" s="28">
        <v>45370</v>
      </c>
      <c r="E82" s="29" t="str">
        <f t="shared" si="8"/>
        <v>March</v>
      </c>
      <c r="F82" s="18">
        <f t="shared" si="9"/>
        <v>2024</v>
      </c>
      <c r="G82" s="29">
        <v>45570</v>
      </c>
      <c r="H82" s="30">
        <f t="shared" si="7"/>
        <v>201</v>
      </c>
      <c r="I82" s="32">
        <v>377700</v>
      </c>
      <c r="J82" s="32">
        <f t="shared" si="6"/>
        <v>207993.698630137</v>
      </c>
      <c r="K82" s="32">
        <f t="shared" si="2"/>
        <v>10399.6849315069</v>
      </c>
      <c r="L82" s="32">
        <v>3000</v>
      </c>
      <c r="M82" s="32">
        <f t="shared" si="3"/>
        <v>221393.383561644</v>
      </c>
      <c r="N82" s="33" t="s">
        <v>193</v>
      </c>
      <c r="O82" s="33" t="s">
        <v>28</v>
      </c>
    </row>
    <row r="83" ht="15.75" customHeight="1" spans="1:15">
      <c r="A83" s="27" t="s">
        <v>168</v>
      </c>
      <c r="B83" s="27" t="s">
        <v>29</v>
      </c>
      <c r="C83" s="27" t="s">
        <v>278</v>
      </c>
      <c r="D83" s="28">
        <v>45370</v>
      </c>
      <c r="E83" s="29" t="str">
        <f t="shared" si="8"/>
        <v>March</v>
      </c>
      <c r="F83" s="18">
        <f t="shared" si="9"/>
        <v>2024</v>
      </c>
      <c r="G83" s="29">
        <v>45570</v>
      </c>
      <c r="H83" s="30">
        <f t="shared" si="7"/>
        <v>201</v>
      </c>
      <c r="I83" s="32">
        <v>377700</v>
      </c>
      <c r="J83" s="32">
        <f t="shared" si="6"/>
        <v>207993.698630137</v>
      </c>
      <c r="K83" s="32">
        <f t="shared" si="2"/>
        <v>10399.6849315069</v>
      </c>
      <c r="L83" s="32">
        <v>3000</v>
      </c>
      <c r="M83" s="32">
        <f t="shared" si="3"/>
        <v>221393.383561644</v>
      </c>
      <c r="N83" s="33" t="s">
        <v>193</v>
      </c>
      <c r="O83" s="33" t="s">
        <v>28</v>
      </c>
    </row>
    <row r="84" ht="15.75" customHeight="1" spans="1:15">
      <c r="A84" s="27" t="s">
        <v>168</v>
      </c>
      <c r="B84" s="27" t="s">
        <v>29</v>
      </c>
      <c r="C84" s="27" t="s">
        <v>279</v>
      </c>
      <c r="D84" s="28">
        <v>45370</v>
      </c>
      <c r="E84" s="29" t="str">
        <f t="shared" si="8"/>
        <v>March</v>
      </c>
      <c r="F84" s="18">
        <f t="shared" si="9"/>
        <v>2024</v>
      </c>
      <c r="G84" s="29">
        <v>45570</v>
      </c>
      <c r="H84" s="30">
        <f t="shared" si="7"/>
        <v>201</v>
      </c>
      <c r="I84" s="32">
        <v>377700</v>
      </c>
      <c r="J84" s="32">
        <f t="shared" si="6"/>
        <v>207993.698630137</v>
      </c>
      <c r="K84" s="32">
        <f t="shared" si="2"/>
        <v>10399.6849315069</v>
      </c>
      <c r="L84" s="32">
        <v>3000</v>
      </c>
      <c r="M84" s="32">
        <f t="shared" si="3"/>
        <v>221393.383561644</v>
      </c>
      <c r="N84" s="33" t="s">
        <v>193</v>
      </c>
      <c r="O84" s="33" t="s">
        <v>28</v>
      </c>
    </row>
    <row r="85" ht="15.75" customHeight="1" spans="1:15">
      <c r="A85" s="27" t="s">
        <v>168</v>
      </c>
      <c r="B85" s="27" t="s">
        <v>29</v>
      </c>
      <c r="C85" s="27" t="s">
        <v>280</v>
      </c>
      <c r="D85" s="28">
        <v>45370</v>
      </c>
      <c r="E85" s="29" t="str">
        <f t="shared" si="8"/>
        <v>March</v>
      </c>
      <c r="F85" s="18">
        <f t="shared" si="9"/>
        <v>2024</v>
      </c>
      <c r="G85" s="29">
        <v>45570</v>
      </c>
      <c r="H85" s="30">
        <f t="shared" si="7"/>
        <v>201</v>
      </c>
      <c r="I85" s="32">
        <v>377700</v>
      </c>
      <c r="J85" s="32">
        <f t="shared" si="6"/>
        <v>207993.698630137</v>
      </c>
      <c r="K85" s="32">
        <f t="shared" si="2"/>
        <v>10399.6849315069</v>
      </c>
      <c r="L85" s="32">
        <v>3000</v>
      </c>
      <c r="M85" s="32">
        <f t="shared" si="3"/>
        <v>221393.383561644</v>
      </c>
      <c r="N85" s="33" t="s">
        <v>193</v>
      </c>
      <c r="O85" s="33" t="s">
        <v>28</v>
      </c>
    </row>
    <row r="86" ht="15.75" customHeight="1" spans="1:15">
      <c r="A86" s="27" t="s">
        <v>168</v>
      </c>
      <c r="B86" s="27" t="s">
        <v>29</v>
      </c>
      <c r="C86" s="27" t="s">
        <v>281</v>
      </c>
      <c r="D86" s="28">
        <v>45370</v>
      </c>
      <c r="E86" s="29" t="str">
        <f t="shared" si="8"/>
        <v>March</v>
      </c>
      <c r="F86" s="18">
        <f t="shared" si="9"/>
        <v>2024</v>
      </c>
      <c r="G86" s="29">
        <v>45570</v>
      </c>
      <c r="H86" s="30">
        <f t="shared" si="7"/>
        <v>201</v>
      </c>
      <c r="I86" s="32">
        <v>377700</v>
      </c>
      <c r="J86" s="32">
        <f t="shared" si="6"/>
        <v>207993.698630137</v>
      </c>
      <c r="K86" s="32">
        <f t="shared" si="2"/>
        <v>10399.6849315069</v>
      </c>
      <c r="L86" s="32">
        <v>3000</v>
      </c>
      <c r="M86" s="32">
        <f t="shared" si="3"/>
        <v>221393.383561644</v>
      </c>
      <c r="N86" s="33" t="s">
        <v>193</v>
      </c>
      <c r="O86" s="33" t="s">
        <v>28</v>
      </c>
    </row>
    <row r="87" ht="15.75" customHeight="1" spans="1:15">
      <c r="A87" s="27" t="s">
        <v>168</v>
      </c>
      <c r="B87" s="27" t="s">
        <v>29</v>
      </c>
      <c r="C87" s="27" t="s">
        <v>282</v>
      </c>
      <c r="D87" s="28">
        <v>45370</v>
      </c>
      <c r="E87" s="29" t="str">
        <f t="shared" si="8"/>
        <v>March</v>
      </c>
      <c r="F87" s="18">
        <f t="shared" si="9"/>
        <v>2024</v>
      </c>
      <c r="G87" s="29">
        <v>45570</v>
      </c>
      <c r="H87" s="30">
        <f t="shared" si="7"/>
        <v>201</v>
      </c>
      <c r="I87" s="32">
        <v>377700</v>
      </c>
      <c r="J87" s="32">
        <f t="shared" si="6"/>
        <v>207993.698630137</v>
      </c>
      <c r="K87" s="32">
        <f t="shared" si="2"/>
        <v>10399.6849315069</v>
      </c>
      <c r="L87" s="32">
        <v>3000</v>
      </c>
      <c r="M87" s="32">
        <f t="shared" si="3"/>
        <v>221393.383561644</v>
      </c>
      <c r="N87" s="33" t="s">
        <v>193</v>
      </c>
      <c r="O87" s="33" t="s">
        <v>28</v>
      </c>
    </row>
    <row r="88" ht="15.75" customHeight="1" spans="1:15">
      <c r="A88" s="27" t="s">
        <v>168</v>
      </c>
      <c r="B88" s="27" t="s">
        <v>29</v>
      </c>
      <c r="C88" s="27" t="s">
        <v>283</v>
      </c>
      <c r="D88" s="28">
        <v>45370</v>
      </c>
      <c r="E88" s="29" t="str">
        <f t="shared" si="8"/>
        <v>March</v>
      </c>
      <c r="F88" s="18">
        <f t="shared" si="9"/>
        <v>2024</v>
      </c>
      <c r="G88" s="29">
        <v>45570</v>
      </c>
      <c r="H88" s="30">
        <f t="shared" si="7"/>
        <v>201</v>
      </c>
      <c r="I88" s="32">
        <v>377700</v>
      </c>
      <c r="J88" s="32">
        <f t="shared" si="6"/>
        <v>207993.698630137</v>
      </c>
      <c r="K88" s="32">
        <f t="shared" si="2"/>
        <v>10399.6849315069</v>
      </c>
      <c r="L88" s="32">
        <v>3000</v>
      </c>
      <c r="M88" s="32">
        <f t="shared" si="3"/>
        <v>221393.383561644</v>
      </c>
      <c r="N88" s="33" t="s">
        <v>193</v>
      </c>
      <c r="O88" s="33" t="s">
        <v>28</v>
      </c>
    </row>
    <row r="89" ht="15.75" customHeight="1" spans="1:15">
      <c r="A89" s="27" t="s">
        <v>168</v>
      </c>
      <c r="B89" s="27" t="s">
        <v>29</v>
      </c>
      <c r="C89" s="27" t="s">
        <v>284</v>
      </c>
      <c r="D89" s="28">
        <v>45370</v>
      </c>
      <c r="E89" s="29" t="str">
        <f t="shared" si="8"/>
        <v>March</v>
      </c>
      <c r="F89" s="18">
        <f t="shared" si="9"/>
        <v>2024</v>
      </c>
      <c r="G89" s="29">
        <v>45570</v>
      </c>
      <c r="H89" s="30">
        <f t="shared" si="7"/>
        <v>201</v>
      </c>
      <c r="I89" s="32">
        <v>377700</v>
      </c>
      <c r="J89" s="32">
        <f t="shared" si="6"/>
        <v>207993.698630137</v>
      </c>
      <c r="K89" s="32">
        <f t="shared" si="2"/>
        <v>10399.6849315069</v>
      </c>
      <c r="L89" s="32">
        <v>3000</v>
      </c>
      <c r="M89" s="32">
        <f t="shared" si="3"/>
        <v>221393.383561644</v>
      </c>
      <c r="N89" s="33" t="s">
        <v>193</v>
      </c>
      <c r="O89" s="33" t="s">
        <v>28</v>
      </c>
    </row>
    <row r="90" ht="15.75" customHeight="1" spans="1:15">
      <c r="A90" s="27" t="s">
        <v>168</v>
      </c>
      <c r="B90" s="27" t="s">
        <v>29</v>
      </c>
      <c r="C90" s="27" t="s">
        <v>285</v>
      </c>
      <c r="D90" s="28">
        <v>45370</v>
      </c>
      <c r="E90" s="29" t="str">
        <f t="shared" si="8"/>
        <v>March</v>
      </c>
      <c r="F90" s="18">
        <f t="shared" si="9"/>
        <v>2024</v>
      </c>
      <c r="G90" s="29">
        <v>45570</v>
      </c>
      <c r="H90" s="30">
        <f t="shared" si="7"/>
        <v>201</v>
      </c>
      <c r="I90" s="32">
        <v>377700</v>
      </c>
      <c r="J90" s="32">
        <f t="shared" si="6"/>
        <v>207993.698630137</v>
      </c>
      <c r="K90" s="32">
        <f t="shared" si="2"/>
        <v>10399.6849315069</v>
      </c>
      <c r="L90" s="32">
        <v>3000</v>
      </c>
      <c r="M90" s="32">
        <f t="shared" si="3"/>
        <v>221393.383561644</v>
      </c>
      <c r="N90" s="33" t="s">
        <v>193</v>
      </c>
      <c r="O90" s="33" t="s">
        <v>28</v>
      </c>
    </row>
    <row r="91" ht="15.75" customHeight="1" spans="1:15">
      <c r="A91" s="27" t="s">
        <v>286</v>
      </c>
      <c r="B91" s="27" t="s">
        <v>29</v>
      </c>
      <c r="C91" s="27" t="s">
        <v>287</v>
      </c>
      <c r="D91" s="28">
        <v>45405</v>
      </c>
      <c r="E91" s="29" t="str">
        <f t="shared" si="8"/>
        <v>April</v>
      </c>
      <c r="F91" s="18">
        <f t="shared" si="9"/>
        <v>2024</v>
      </c>
      <c r="G91" s="29">
        <v>45715</v>
      </c>
      <c r="H91" s="30">
        <f t="shared" si="7"/>
        <v>311</v>
      </c>
      <c r="I91" s="32">
        <v>425036</v>
      </c>
      <c r="J91" s="32">
        <f t="shared" si="6"/>
        <v>362153.961643836</v>
      </c>
      <c r="K91" s="32">
        <f t="shared" si="2"/>
        <v>18107.6980821918</v>
      </c>
      <c r="L91" s="32">
        <v>10000</v>
      </c>
      <c r="M91" s="32">
        <f t="shared" si="3"/>
        <v>390261.659726027</v>
      </c>
      <c r="N91" s="33" t="s">
        <v>193</v>
      </c>
      <c r="O91" s="33" t="s">
        <v>28</v>
      </c>
    </row>
    <row r="92" ht="15.75" customHeight="1" spans="1:15">
      <c r="A92" s="27" t="s">
        <v>116</v>
      </c>
      <c r="B92" s="27" t="s">
        <v>29</v>
      </c>
      <c r="C92" s="27" t="s">
        <v>288</v>
      </c>
      <c r="D92" s="28">
        <v>45387</v>
      </c>
      <c r="E92" s="29" t="str">
        <f t="shared" si="8"/>
        <v>April</v>
      </c>
      <c r="F92" s="18">
        <f t="shared" si="9"/>
        <v>2024</v>
      </c>
      <c r="G92" s="29">
        <v>45701</v>
      </c>
      <c r="H92" s="30">
        <f t="shared" si="7"/>
        <v>315</v>
      </c>
      <c r="I92" s="32">
        <v>1258200</v>
      </c>
      <c r="J92" s="32">
        <f t="shared" si="6"/>
        <v>1085843.83561644</v>
      </c>
      <c r="K92" s="32">
        <f t="shared" si="2"/>
        <v>54292.1917808219</v>
      </c>
      <c r="L92" s="32">
        <v>15000</v>
      </c>
      <c r="M92" s="32">
        <f t="shared" si="3"/>
        <v>1155136.02739726</v>
      </c>
      <c r="N92" s="33" t="s">
        <v>193</v>
      </c>
      <c r="O92" s="33" t="s">
        <v>28</v>
      </c>
    </row>
    <row r="93" ht="15.75" customHeight="1" spans="1:15">
      <c r="A93" s="27" t="s">
        <v>54</v>
      </c>
      <c r="B93" s="27" t="s">
        <v>29</v>
      </c>
      <c r="C93" s="27" t="s">
        <v>289</v>
      </c>
      <c r="D93" s="28">
        <v>45413</v>
      </c>
      <c r="E93" s="29" t="str">
        <f t="shared" si="8"/>
        <v>May</v>
      </c>
      <c r="F93" s="18">
        <f t="shared" si="9"/>
        <v>2024</v>
      </c>
      <c r="G93" s="29">
        <v>45725</v>
      </c>
      <c r="H93" s="30">
        <f t="shared" si="7"/>
        <v>313</v>
      </c>
      <c r="I93" s="32">
        <v>1428135</v>
      </c>
      <c r="J93" s="32">
        <f t="shared" si="6"/>
        <v>1224674.67123288</v>
      </c>
      <c r="K93" s="32">
        <f t="shared" si="2"/>
        <v>61233.7335616438</v>
      </c>
      <c r="L93" s="32">
        <v>10000</v>
      </c>
      <c r="M93" s="32">
        <f t="shared" si="3"/>
        <v>1295908.40479452</v>
      </c>
      <c r="N93" s="33" t="s">
        <v>193</v>
      </c>
      <c r="O93" s="33" t="s">
        <v>28</v>
      </c>
    </row>
    <row r="94" ht="15.75" customHeight="1" spans="1:15">
      <c r="A94" s="27" t="s">
        <v>290</v>
      </c>
      <c r="B94" s="27" t="s">
        <v>29</v>
      </c>
      <c r="C94" s="27" t="s">
        <v>291</v>
      </c>
      <c r="D94" s="28">
        <v>45448</v>
      </c>
      <c r="E94" s="29" t="str">
        <f t="shared" si="8"/>
        <v>June</v>
      </c>
      <c r="F94" s="18">
        <f t="shared" si="9"/>
        <v>2024</v>
      </c>
      <c r="G94" s="29">
        <v>45535</v>
      </c>
      <c r="H94" s="30">
        <f>G94-D94</f>
        <v>87</v>
      </c>
      <c r="I94" s="32">
        <v>1323842</v>
      </c>
      <c r="J94" s="32">
        <f t="shared" si="6"/>
        <v>315545.901369863</v>
      </c>
      <c r="K94" s="32">
        <f t="shared" si="2"/>
        <v>15777.2950684932</v>
      </c>
      <c r="L94" s="32">
        <v>50000</v>
      </c>
      <c r="M94" s="32">
        <f t="shared" si="3"/>
        <v>381323.196438356</v>
      </c>
      <c r="N94" s="33" t="s">
        <v>193</v>
      </c>
      <c r="O94" s="33" t="s">
        <v>28</v>
      </c>
    </row>
    <row r="95" ht="15.75" customHeight="1" spans="1:15">
      <c r="A95" s="27" t="s">
        <v>290</v>
      </c>
      <c r="B95" s="27" t="s">
        <v>29</v>
      </c>
      <c r="C95" s="27" t="s">
        <v>292</v>
      </c>
      <c r="D95" s="28">
        <v>45448</v>
      </c>
      <c r="E95" s="29" t="str">
        <f t="shared" si="8"/>
        <v>June</v>
      </c>
      <c r="F95" s="18">
        <f t="shared" si="9"/>
        <v>2024</v>
      </c>
      <c r="G95" s="29">
        <v>45535</v>
      </c>
      <c r="H95" s="30">
        <f>G95-D95</f>
        <v>87</v>
      </c>
      <c r="I95" s="32">
        <v>828997</v>
      </c>
      <c r="J95" s="32">
        <f t="shared" si="6"/>
        <v>197596.545205479</v>
      </c>
      <c r="K95" s="32">
        <f t="shared" si="2"/>
        <v>9879.82726027397</v>
      </c>
      <c r="L95" s="32">
        <v>20000</v>
      </c>
      <c r="M95" s="32">
        <f t="shared" si="3"/>
        <v>227476.372465753</v>
      </c>
      <c r="N95" s="33" t="s">
        <v>193</v>
      </c>
      <c r="O95" s="33" t="s">
        <v>28</v>
      </c>
    </row>
    <row r="96" ht="15.75" customHeight="1" spans="1:15">
      <c r="A96" s="27" t="s">
        <v>116</v>
      </c>
      <c r="B96" s="27" t="s">
        <v>29</v>
      </c>
      <c r="C96" s="27" t="s">
        <v>293</v>
      </c>
      <c r="D96" s="28">
        <v>45446</v>
      </c>
      <c r="E96" s="29" t="str">
        <f t="shared" si="8"/>
        <v>June</v>
      </c>
      <c r="F96" s="18">
        <f t="shared" si="9"/>
        <v>2024</v>
      </c>
      <c r="G96" s="29">
        <v>45701</v>
      </c>
      <c r="H96" s="30">
        <f>G96-D96+1</f>
        <v>256</v>
      </c>
      <c r="I96" s="32">
        <v>506911</v>
      </c>
      <c r="J96" s="32">
        <f t="shared" si="6"/>
        <v>355532.098630137</v>
      </c>
      <c r="K96" s="32">
        <f t="shared" si="2"/>
        <v>17776.6049315068</v>
      </c>
      <c r="L96" s="32">
        <v>5000</v>
      </c>
      <c r="M96" s="32">
        <f t="shared" si="3"/>
        <v>378308.703561644</v>
      </c>
      <c r="N96" s="33" t="s">
        <v>193</v>
      </c>
      <c r="O96" s="33" t="s">
        <v>28</v>
      </c>
    </row>
    <row r="97" ht="15.75" customHeight="1" spans="1:15">
      <c r="A97" s="27" t="s">
        <v>116</v>
      </c>
      <c r="B97" s="27" t="s">
        <v>29</v>
      </c>
      <c r="C97" s="27" t="s">
        <v>294</v>
      </c>
      <c r="D97" s="28">
        <v>45446</v>
      </c>
      <c r="E97" s="29" t="str">
        <f t="shared" si="8"/>
        <v>June</v>
      </c>
      <c r="F97" s="18">
        <f t="shared" si="9"/>
        <v>2024</v>
      </c>
      <c r="G97" s="29">
        <v>45701</v>
      </c>
      <c r="H97" s="30">
        <f>G97-D97+1</f>
        <v>256</v>
      </c>
      <c r="I97" s="32">
        <v>1509102</v>
      </c>
      <c r="J97" s="32">
        <f t="shared" si="6"/>
        <v>1058438.6630137</v>
      </c>
      <c r="K97" s="32">
        <f t="shared" si="2"/>
        <v>52921.9331506849</v>
      </c>
      <c r="L97" s="32">
        <v>25000</v>
      </c>
      <c r="M97" s="32">
        <f t="shared" si="3"/>
        <v>1136360.59616438</v>
      </c>
      <c r="N97" s="33" t="s">
        <v>193</v>
      </c>
      <c r="O97" s="33" t="s">
        <v>28</v>
      </c>
    </row>
    <row r="98" ht="15.75" customHeight="1" spans="1:15">
      <c r="A98" s="27" t="s">
        <v>116</v>
      </c>
      <c r="B98" s="27" t="s">
        <v>29</v>
      </c>
      <c r="C98" s="27" t="s">
        <v>295</v>
      </c>
      <c r="D98" s="28">
        <v>45446</v>
      </c>
      <c r="E98" s="29" t="str">
        <f t="shared" si="8"/>
        <v>June</v>
      </c>
      <c r="F98" s="18">
        <f t="shared" si="9"/>
        <v>2024</v>
      </c>
      <c r="G98" s="29">
        <v>45701</v>
      </c>
      <c r="H98" s="30">
        <f>G98-D98+1</f>
        <v>256</v>
      </c>
      <c r="I98" s="32">
        <v>506911</v>
      </c>
      <c r="J98" s="32">
        <f t="shared" si="6"/>
        <v>355532.098630137</v>
      </c>
      <c r="K98" s="32">
        <f t="shared" si="2"/>
        <v>17776.6049315068</v>
      </c>
      <c r="L98" s="32">
        <v>5000</v>
      </c>
      <c r="M98" s="32">
        <f t="shared" si="3"/>
        <v>378308.703561644</v>
      </c>
      <c r="N98" s="33" t="s">
        <v>193</v>
      </c>
      <c r="O98" s="33" t="s">
        <v>28</v>
      </c>
    </row>
    <row r="99" ht="15.75" customHeight="1" spans="1:15">
      <c r="A99" s="27" t="s">
        <v>116</v>
      </c>
      <c r="B99" s="27" t="s">
        <v>29</v>
      </c>
      <c r="C99" s="27" t="s">
        <v>296</v>
      </c>
      <c r="D99" s="28">
        <v>45446</v>
      </c>
      <c r="E99" s="29" t="str">
        <f t="shared" si="8"/>
        <v>June</v>
      </c>
      <c r="F99" s="18">
        <f t="shared" si="9"/>
        <v>2024</v>
      </c>
      <c r="G99" s="29">
        <v>45701</v>
      </c>
      <c r="H99" s="30">
        <f>G99-D99+1</f>
        <v>256</v>
      </c>
      <c r="I99" s="32">
        <v>506911</v>
      </c>
      <c r="J99" s="32">
        <f t="shared" si="6"/>
        <v>355532.098630137</v>
      </c>
      <c r="K99" s="32">
        <f t="shared" si="2"/>
        <v>17776.6049315068</v>
      </c>
      <c r="L99" s="32">
        <v>5000</v>
      </c>
      <c r="M99" s="32">
        <f t="shared" si="3"/>
        <v>378308.703561644</v>
      </c>
      <c r="N99" s="33" t="s">
        <v>193</v>
      </c>
      <c r="O99" s="33" t="s">
        <v>28</v>
      </c>
    </row>
    <row r="100" ht="15.75" customHeight="1" spans="1:15">
      <c r="A100" s="27" t="s">
        <v>297</v>
      </c>
      <c r="B100" s="27" t="s">
        <v>29</v>
      </c>
      <c r="C100" s="27" t="s">
        <v>298</v>
      </c>
      <c r="D100" s="28">
        <v>45432</v>
      </c>
      <c r="E100" s="29" t="str">
        <f t="shared" si="8"/>
        <v>May</v>
      </c>
      <c r="F100" s="18">
        <f t="shared" si="9"/>
        <v>2024</v>
      </c>
      <c r="G100" s="29">
        <v>45759</v>
      </c>
      <c r="H100" s="30">
        <f>G100-D100+1</f>
        <v>328</v>
      </c>
      <c r="I100" s="32">
        <v>372295</v>
      </c>
      <c r="J100" s="32">
        <f t="shared" si="6"/>
        <v>334555.506849315</v>
      </c>
      <c r="K100" s="32">
        <f t="shared" si="2"/>
        <v>16727.7753424658</v>
      </c>
      <c r="L100" s="32">
        <v>10000</v>
      </c>
      <c r="M100" s="32">
        <f t="shared" si="3"/>
        <v>361283.282191781</v>
      </c>
      <c r="N100" s="33" t="s">
        <v>193</v>
      </c>
      <c r="O100" s="33" t="s">
        <v>28</v>
      </c>
    </row>
    <row r="101" ht="15.75" customHeight="1" spans="1:15">
      <c r="A101" s="27" t="s">
        <v>148</v>
      </c>
      <c r="B101" s="27" t="s">
        <v>34</v>
      </c>
      <c r="C101" s="27" t="s">
        <v>299</v>
      </c>
      <c r="D101" s="28">
        <v>45434</v>
      </c>
      <c r="E101" s="29" t="str">
        <f t="shared" si="8"/>
        <v>May</v>
      </c>
      <c r="F101" s="18">
        <f t="shared" si="9"/>
        <v>2024</v>
      </c>
      <c r="G101" s="29">
        <v>45774</v>
      </c>
      <c r="H101" s="30">
        <f>G101-D101</f>
        <v>340</v>
      </c>
      <c r="I101" s="32">
        <v>1020717</v>
      </c>
      <c r="J101" s="32">
        <f t="shared" si="6"/>
        <v>950804.876712329</v>
      </c>
      <c r="K101" s="32">
        <f t="shared" si="2"/>
        <v>47540.2438356164</v>
      </c>
      <c r="L101" s="32">
        <v>15000</v>
      </c>
      <c r="M101" s="32">
        <f t="shared" si="3"/>
        <v>1013345.12054795</v>
      </c>
      <c r="N101" s="33" t="s">
        <v>193</v>
      </c>
      <c r="O101" s="33" t="s">
        <v>28</v>
      </c>
    </row>
    <row r="102" ht="15.75" customHeight="1" spans="1:15">
      <c r="A102" s="27" t="s">
        <v>148</v>
      </c>
      <c r="B102" s="27" t="s">
        <v>34</v>
      </c>
      <c r="C102" s="27" t="s">
        <v>300</v>
      </c>
      <c r="D102" s="28">
        <v>45434</v>
      </c>
      <c r="E102" s="29" t="str">
        <f t="shared" si="8"/>
        <v>May</v>
      </c>
      <c r="F102" s="18">
        <f t="shared" si="9"/>
        <v>2024</v>
      </c>
      <c r="G102" s="29">
        <v>45774</v>
      </c>
      <c r="H102" s="30">
        <f>G102-D102</f>
        <v>340</v>
      </c>
      <c r="I102" s="32">
        <v>490359</v>
      </c>
      <c r="J102" s="32">
        <f t="shared" si="6"/>
        <v>456772.767123288</v>
      </c>
      <c r="K102" s="32">
        <f t="shared" si="2"/>
        <v>22838.6383561644</v>
      </c>
      <c r="L102" s="32">
        <v>5000</v>
      </c>
      <c r="M102" s="32">
        <f t="shared" si="3"/>
        <v>484611.405479452</v>
      </c>
      <c r="N102" s="33" t="s">
        <v>193</v>
      </c>
      <c r="O102" s="33" t="s">
        <v>28</v>
      </c>
    </row>
    <row r="103" ht="15.75" customHeight="1" spans="1:15">
      <c r="A103" s="27" t="s">
        <v>148</v>
      </c>
      <c r="B103" s="27" t="s">
        <v>34</v>
      </c>
      <c r="C103" s="27" t="s">
        <v>301</v>
      </c>
      <c r="D103" s="28">
        <v>45434</v>
      </c>
      <c r="E103" s="29" t="str">
        <f t="shared" si="8"/>
        <v>May</v>
      </c>
      <c r="F103" s="18">
        <f t="shared" si="9"/>
        <v>2024</v>
      </c>
      <c r="G103" s="29">
        <v>45774</v>
      </c>
      <c r="H103" s="30">
        <f>G103-D103</f>
        <v>340</v>
      </c>
      <c r="I103" s="32">
        <v>1207021</v>
      </c>
      <c r="J103" s="32">
        <f t="shared" si="6"/>
        <v>1124348.32876712</v>
      </c>
      <c r="K103" s="32">
        <f t="shared" si="2"/>
        <v>56217.4164383562</v>
      </c>
      <c r="L103" s="32">
        <v>20000</v>
      </c>
      <c r="M103" s="32">
        <f t="shared" si="3"/>
        <v>1200565.74520548</v>
      </c>
      <c r="N103" s="33" t="s">
        <v>193</v>
      </c>
      <c r="O103" s="33" t="s">
        <v>28</v>
      </c>
    </row>
    <row r="104" ht="15.75" customHeight="1" spans="1:15">
      <c r="A104" s="27" t="s">
        <v>302</v>
      </c>
      <c r="B104" s="27" t="s">
        <v>29</v>
      </c>
      <c r="C104" s="27" t="s">
        <v>303</v>
      </c>
      <c r="D104" s="28">
        <v>45413</v>
      </c>
      <c r="E104" s="29" t="str">
        <f t="shared" si="8"/>
        <v>May</v>
      </c>
      <c r="F104" s="18">
        <f t="shared" si="9"/>
        <v>2024</v>
      </c>
      <c r="G104" s="29">
        <v>45535</v>
      </c>
      <c r="H104" s="30">
        <f>G104-D104</f>
        <v>122</v>
      </c>
      <c r="I104" s="32">
        <v>65916030.84</v>
      </c>
      <c r="J104" s="32">
        <f>I104*H104/122</f>
        <v>65916030.84</v>
      </c>
      <c r="K104" s="32">
        <f t="shared" si="2"/>
        <v>3295801.542</v>
      </c>
      <c r="L104" s="32">
        <v>0</v>
      </c>
      <c r="M104" s="32">
        <f t="shared" si="3"/>
        <v>69211832.382</v>
      </c>
      <c r="N104" s="33" t="s">
        <v>193</v>
      </c>
      <c r="O104" s="33" t="s">
        <v>28</v>
      </c>
    </row>
    <row r="105" ht="15.75" customHeight="1" spans="1:15">
      <c r="A105" s="27" t="s">
        <v>128</v>
      </c>
      <c r="B105" s="27" t="s">
        <v>34</v>
      </c>
      <c r="C105" s="27" t="s">
        <v>304</v>
      </c>
      <c r="D105" s="28">
        <v>45456</v>
      </c>
      <c r="E105" s="29" t="str">
        <f t="shared" si="8"/>
        <v>June</v>
      </c>
      <c r="F105" s="18">
        <f t="shared" si="9"/>
        <v>2024</v>
      </c>
      <c r="G105" s="29">
        <v>45808</v>
      </c>
      <c r="H105" s="30">
        <f t="shared" ref="H105:H117" si="10">G105-D105+1</f>
        <v>353</v>
      </c>
      <c r="I105" s="32">
        <v>1356540</v>
      </c>
      <c r="J105" s="32">
        <f t="shared" ref="J105:J117" si="11">I105*H105/365</f>
        <v>1311941.42465753</v>
      </c>
      <c r="K105" s="32">
        <f t="shared" si="2"/>
        <v>65597.0712328767</v>
      </c>
      <c r="L105" s="32">
        <v>25000</v>
      </c>
      <c r="M105" s="32">
        <f t="shared" si="3"/>
        <v>1402538.49589041</v>
      </c>
      <c r="N105" s="33" t="s">
        <v>193</v>
      </c>
      <c r="O105" s="33" t="s">
        <v>28</v>
      </c>
    </row>
    <row r="106" ht="15.75" customHeight="1" spans="1:15">
      <c r="A106" s="35" t="s">
        <v>176</v>
      </c>
      <c r="B106" s="35" t="s">
        <v>29</v>
      </c>
      <c r="C106" s="35" t="s">
        <v>305</v>
      </c>
      <c r="D106" s="36">
        <v>45358</v>
      </c>
      <c r="E106" s="29" t="str">
        <f t="shared" si="8"/>
        <v>March</v>
      </c>
      <c r="F106" s="18">
        <f t="shared" si="9"/>
        <v>2024</v>
      </c>
      <c r="G106" s="37">
        <v>45581</v>
      </c>
      <c r="H106" s="38">
        <f t="shared" si="10"/>
        <v>224</v>
      </c>
      <c r="I106" s="43">
        <v>503134</v>
      </c>
      <c r="J106" s="43">
        <f t="shared" si="11"/>
        <v>308772.646575342</v>
      </c>
      <c r="K106" s="43">
        <f t="shared" si="2"/>
        <v>15438.6323287671</v>
      </c>
      <c r="L106" s="43">
        <v>10000</v>
      </c>
      <c r="M106" s="43">
        <f t="shared" si="3"/>
        <v>334211.27890411</v>
      </c>
      <c r="N106" s="33" t="s">
        <v>193</v>
      </c>
      <c r="O106" s="33" t="s">
        <v>28</v>
      </c>
    </row>
    <row r="107" ht="15.75" customHeight="1" spans="1:15">
      <c r="A107" s="35" t="s">
        <v>176</v>
      </c>
      <c r="B107" s="35" t="s">
        <v>29</v>
      </c>
      <c r="C107" s="35" t="s">
        <v>306</v>
      </c>
      <c r="D107" s="36">
        <v>45364</v>
      </c>
      <c r="E107" s="29" t="str">
        <f t="shared" si="8"/>
        <v>March</v>
      </c>
      <c r="F107" s="18">
        <f t="shared" si="9"/>
        <v>2024</v>
      </c>
      <c r="G107" s="37">
        <v>45581</v>
      </c>
      <c r="H107" s="38">
        <f t="shared" si="10"/>
        <v>218</v>
      </c>
      <c r="I107" s="43">
        <v>1228287</v>
      </c>
      <c r="J107" s="43">
        <f t="shared" si="11"/>
        <v>733607.030136986</v>
      </c>
      <c r="K107" s="43">
        <f t="shared" si="2"/>
        <v>36680.3515068493</v>
      </c>
      <c r="L107" s="43">
        <v>60000</v>
      </c>
      <c r="M107" s="43">
        <f t="shared" si="3"/>
        <v>830287.381643836</v>
      </c>
      <c r="N107" s="33" t="s">
        <v>193</v>
      </c>
      <c r="O107" s="33" t="s">
        <v>28</v>
      </c>
    </row>
    <row r="108" ht="15.75" customHeight="1" spans="1:15">
      <c r="A108" s="35" t="s">
        <v>176</v>
      </c>
      <c r="B108" s="35" t="s">
        <v>29</v>
      </c>
      <c r="C108" s="35" t="s">
        <v>307</v>
      </c>
      <c r="D108" s="36">
        <v>45425</v>
      </c>
      <c r="E108" s="29" t="str">
        <f t="shared" si="8"/>
        <v>May</v>
      </c>
      <c r="F108" s="18">
        <f t="shared" si="9"/>
        <v>2024</v>
      </c>
      <c r="G108" s="37">
        <v>45581</v>
      </c>
      <c r="H108" s="38">
        <f t="shared" si="10"/>
        <v>157</v>
      </c>
      <c r="I108" s="43">
        <v>503134</v>
      </c>
      <c r="J108" s="43">
        <f t="shared" si="11"/>
        <v>216416.542465753</v>
      </c>
      <c r="K108" s="43">
        <f t="shared" si="2"/>
        <v>10820.8271232877</v>
      </c>
      <c r="L108" s="43">
        <v>10000</v>
      </c>
      <c r="M108" s="43">
        <f t="shared" si="3"/>
        <v>237237.369589041</v>
      </c>
      <c r="N108" s="33" t="s">
        <v>193</v>
      </c>
      <c r="O108" s="33" t="s">
        <v>28</v>
      </c>
    </row>
    <row r="109" ht="15.75" customHeight="1" spans="1:15">
      <c r="A109" s="35" t="s">
        <v>176</v>
      </c>
      <c r="B109" s="35" t="s">
        <v>29</v>
      </c>
      <c r="C109" s="35" t="s">
        <v>308</v>
      </c>
      <c r="D109" s="36">
        <v>45425</v>
      </c>
      <c r="E109" s="29" t="str">
        <f t="shared" si="8"/>
        <v>May</v>
      </c>
      <c r="F109" s="18">
        <f t="shared" si="9"/>
        <v>2024</v>
      </c>
      <c r="G109" s="37">
        <v>45581</v>
      </c>
      <c r="H109" s="38">
        <f t="shared" si="10"/>
        <v>157</v>
      </c>
      <c r="I109" s="43">
        <v>1381854</v>
      </c>
      <c r="J109" s="43">
        <f t="shared" si="11"/>
        <v>594386.515068493</v>
      </c>
      <c r="K109" s="43">
        <f t="shared" si="2"/>
        <v>29719.3257534247</v>
      </c>
      <c r="L109" s="43">
        <v>40000</v>
      </c>
      <c r="M109" s="43">
        <f t="shared" si="3"/>
        <v>664105.840821918</v>
      </c>
      <c r="N109" s="33" t="s">
        <v>193</v>
      </c>
      <c r="O109" s="33" t="s">
        <v>28</v>
      </c>
    </row>
    <row r="110" ht="15.75" customHeight="1" spans="1:15">
      <c r="A110" s="27" t="s">
        <v>191</v>
      </c>
      <c r="B110" s="27" t="s">
        <v>34</v>
      </c>
      <c r="C110" s="27" t="s">
        <v>309</v>
      </c>
      <c r="D110" s="28">
        <v>45446</v>
      </c>
      <c r="E110" s="29" t="str">
        <f t="shared" si="8"/>
        <v>June</v>
      </c>
      <c r="F110" s="18">
        <f t="shared" si="9"/>
        <v>2024</v>
      </c>
      <c r="G110" s="29">
        <v>45510</v>
      </c>
      <c r="H110" s="30">
        <f t="shared" si="10"/>
        <v>65</v>
      </c>
      <c r="I110" s="32">
        <v>891649</v>
      </c>
      <c r="J110" s="32">
        <f t="shared" si="11"/>
        <v>158786.808219178</v>
      </c>
      <c r="K110" s="32">
        <f t="shared" si="2"/>
        <v>7939.3404109589</v>
      </c>
      <c r="L110" s="32">
        <v>30000</v>
      </c>
      <c r="M110" s="32">
        <f t="shared" si="3"/>
        <v>196726.148630137</v>
      </c>
      <c r="N110" s="33" t="s">
        <v>193</v>
      </c>
      <c r="O110" s="33" t="s">
        <v>28</v>
      </c>
    </row>
    <row r="111" ht="15.75" customHeight="1" spans="1:15">
      <c r="A111" s="27" t="s">
        <v>148</v>
      </c>
      <c r="B111" s="27" t="s">
        <v>34</v>
      </c>
      <c r="C111" s="27" t="s">
        <v>310</v>
      </c>
      <c r="D111" s="28">
        <v>45464</v>
      </c>
      <c r="E111" s="29" t="str">
        <f t="shared" si="8"/>
        <v>June</v>
      </c>
      <c r="F111" s="18">
        <f t="shared" si="9"/>
        <v>2024</v>
      </c>
      <c r="G111" s="29">
        <v>45774</v>
      </c>
      <c r="H111" s="30">
        <f t="shared" si="10"/>
        <v>311</v>
      </c>
      <c r="I111" s="32">
        <v>198573</v>
      </c>
      <c r="J111" s="32">
        <f t="shared" si="11"/>
        <v>169195.076712329</v>
      </c>
      <c r="K111" s="32">
        <f t="shared" si="2"/>
        <v>8459.75383561644</v>
      </c>
      <c r="L111" s="32">
        <v>5000</v>
      </c>
      <c r="M111" s="32">
        <f t="shared" si="3"/>
        <v>182654.830547945</v>
      </c>
      <c r="N111" s="33" t="s">
        <v>193</v>
      </c>
      <c r="O111" s="33" t="s">
        <v>28</v>
      </c>
    </row>
    <row r="112" ht="15.75" customHeight="1" spans="1:15">
      <c r="A112" s="27" t="s">
        <v>148</v>
      </c>
      <c r="B112" s="27" t="s">
        <v>34</v>
      </c>
      <c r="C112" s="27" t="s">
        <v>311</v>
      </c>
      <c r="D112" s="28">
        <v>45464</v>
      </c>
      <c r="E112" s="29" t="str">
        <f t="shared" si="8"/>
        <v>June</v>
      </c>
      <c r="F112" s="18">
        <f t="shared" si="9"/>
        <v>2024</v>
      </c>
      <c r="G112" s="29">
        <v>45774</v>
      </c>
      <c r="H112" s="30">
        <f t="shared" si="10"/>
        <v>311</v>
      </c>
      <c r="I112" s="32">
        <v>137219</v>
      </c>
      <c r="J112" s="32">
        <f t="shared" si="11"/>
        <v>116918.106849315</v>
      </c>
      <c r="K112" s="32">
        <f t="shared" si="2"/>
        <v>5845.90534246575</v>
      </c>
      <c r="L112" s="32">
        <v>5000</v>
      </c>
      <c r="M112" s="32">
        <f t="shared" si="3"/>
        <v>127764.012191781</v>
      </c>
      <c r="N112" s="33" t="s">
        <v>193</v>
      </c>
      <c r="O112" s="33" t="s">
        <v>28</v>
      </c>
    </row>
    <row r="113" ht="15.75" customHeight="1" spans="1:15">
      <c r="A113" s="27" t="s">
        <v>148</v>
      </c>
      <c r="B113" s="27" t="s">
        <v>34</v>
      </c>
      <c r="C113" s="27" t="s">
        <v>312</v>
      </c>
      <c r="D113" s="28">
        <v>45464</v>
      </c>
      <c r="E113" s="29" t="str">
        <f t="shared" si="8"/>
        <v>June</v>
      </c>
      <c r="F113" s="18">
        <f t="shared" si="9"/>
        <v>2024</v>
      </c>
      <c r="G113" s="29">
        <v>45774</v>
      </c>
      <c r="H113" s="30">
        <f t="shared" si="10"/>
        <v>311</v>
      </c>
      <c r="I113" s="32">
        <v>186304</v>
      </c>
      <c r="J113" s="32">
        <f t="shared" si="11"/>
        <v>158741.216438356</v>
      </c>
      <c r="K113" s="32">
        <f t="shared" si="2"/>
        <v>7937.06082191781</v>
      </c>
      <c r="L113" s="32">
        <v>5000</v>
      </c>
      <c r="M113" s="32">
        <f t="shared" si="3"/>
        <v>171678.277260274</v>
      </c>
      <c r="N113" s="33" t="s">
        <v>193</v>
      </c>
      <c r="O113" s="33" t="s">
        <v>28</v>
      </c>
    </row>
    <row r="114" ht="15.75" customHeight="1" spans="1:15">
      <c r="A114" s="27" t="s">
        <v>313</v>
      </c>
      <c r="B114" s="27" t="s">
        <v>29</v>
      </c>
      <c r="C114" s="27" t="s">
        <v>293</v>
      </c>
      <c r="D114" s="28">
        <v>45446</v>
      </c>
      <c r="E114" s="29" t="str">
        <f t="shared" si="8"/>
        <v>June</v>
      </c>
      <c r="F114" s="18">
        <f t="shared" si="9"/>
        <v>2024</v>
      </c>
      <c r="G114" s="29">
        <v>45701</v>
      </c>
      <c r="H114" s="30">
        <f t="shared" si="10"/>
        <v>256</v>
      </c>
      <c r="I114" s="32">
        <v>506911</v>
      </c>
      <c r="J114" s="32">
        <f t="shared" si="11"/>
        <v>355532.098630137</v>
      </c>
      <c r="K114" s="32">
        <f t="shared" si="2"/>
        <v>17776.6049315068</v>
      </c>
      <c r="L114" s="32">
        <v>5000</v>
      </c>
      <c r="M114" s="32">
        <f t="shared" si="3"/>
        <v>378308.703561644</v>
      </c>
      <c r="N114" s="33" t="s">
        <v>193</v>
      </c>
      <c r="O114" s="33" t="s">
        <v>28</v>
      </c>
    </row>
    <row r="115" ht="15.75" customHeight="1" spans="1:15">
      <c r="A115" s="27" t="s">
        <v>313</v>
      </c>
      <c r="B115" s="27" t="s">
        <v>29</v>
      </c>
      <c r="C115" s="27" t="s">
        <v>294</v>
      </c>
      <c r="D115" s="28">
        <v>45446</v>
      </c>
      <c r="E115" s="29" t="str">
        <f t="shared" si="8"/>
        <v>June</v>
      </c>
      <c r="F115" s="18">
        <f t="shared" si="9"/>
        <v>2024</v>
      </c>
      <c r="G115" s="29">
        <v>45701</v>
      </c>
      <c r="H115" s="30">
        <f t="shared" si="10"/>
        <v>256</v>
      </c>
      <c r="I115" s="32">
        <v>1509102</v>
      </c>
      <c r="J115" s="32">
        <f t="shared" si="11"/>
        <v>1058438.6630137</v>
      </c>
      <c r="K115" s="32">
        <f t="shared" si="2"/>
        <v>52921.9331506849</v>
      </c>
      <c r="L115" s="32">
        <v>25000</v>
      </c>
      <c r="M115" s="32">
        <f t="shared" si="3"/>
        <v>1136360.59616438</v>
      </c>
      <c r="N115" s="33" t="s">
        <v>193</v>
      </c>
      <c r="O115" s="33" t="s">
        <v>28</v>
      </c>
    </row>
    <row r="116" ht="15.75" customHeight="1" spans="1:15">
      <c r="A116" s="27" t="s">
        <v>313</v>
      </c>
      <c r="B116" s="27" t="s">
        <v>29</v>
      </c>
      <c r="C116" s="27" t="s">
        <v>295</v>
      </c>
      <c r="D116" s="28">
        <v>45446</v>
      </c>
      <c r="E116" s="29" t="str">
        <f t="shared" si="8"/>
        <v>June</v>
      </c>
      <c r="F116" s="18">
        <f t="shared" si="9"/>
        <v>2024</v>
      </c>
      <c r="G116" s="29">
        <v>45701</v>
      </c>
      <c r="H116" s="30">
        <f t="shared" si="10"/>
        <v>256</v>
      </c>
      <c r="I116" s="32">
        <v>506911</v>
      </c>
      <c r="J116" s="32">
        <f t="shared" si="11"/>
        <v>355532.098630137</v>
      </c>
      <c r="K116" s="32">
        <f t="shared" si="2"/>
        <v>17776.6049315068</v>
      </c>
      <c r="L116" s="32">
        <v>5000</v>
      </c>
      <c r="M116" s="32">
        <f t="shared" si="3"/>
        <v>378308.703561644</v>
      </c>
      <c r="N116" s="33" t="s">
        <v>193</v>
      </c>
      <c r="O116" s="33" t="s">
        <v>28</v>
      </c>
    </row>
    <row r="117" ht="15.75" customHeight="1" spans="1:15">
      <c r="A117" s="27" t="s">
        <v>313</v>
      </c>
      <c r="B117" s="27" t="s">
        <v>29</v>
      </c>
      <c r="C117" s="27" t="s">
        <v>296</v>
      </c>
      <c r="D117" s="28">
        <v>45446</v>
      </c>
      <c r="E117" s="29" t="str">
        <f t="shared" si="8"/>
        <v>June</v>
      </c>
      <c r="F117" s="18">
        <f t="shared" si="9"/>
        <v>2024</v>
      </c>
      <c r="G117" s="29">
        <v>45701</v>
      </c>
      <c r="H117" s="30">
        <f t="shared" si="10"/>
        <v>256</v>
      </c>
      <c r="I117" s="32">
        <v>506911</v>
      </c>
      <c r="J117" s="32">
        <f t="shared" si="11"/>
        <v>355532.098630137</v>
      </c>
      <c r="K117" s="32">
        <f t="shared" si="2"/>
        <v>17776.6049315068</v>
      </c>
      <c r="L117" s="32">
        <v>5000</v>
      </c>
      <c r="M117" s="32">
        <f t="shared" si="3"/>
        <v>378308.703561644</v>
      </c>
      <c r="N117" s="33" t="s">
        <v>193</v>
      </c>
      <c r="O117" s="33" t="s">
        <v>28</v>
      </c>
    </row>
    <row r="118" ht="15.75" customHeight="1" spans="1:15">
      <c r="A118" s="27" t="s">
        <v>168</v>
      </c>
      <c r="B118" s="27" t="s">
        <v>29</v>
      </c>
      <c r="C118" s="27" t="s">
        <v>314</v>
      </c>
      <c r="D118" s="28">
        <v>45466</v>
      </c>
      <c r="E118" s="29" t="str">
        <f t="shared" si="8"/>
        <v>June</v>
      </c>
      <c r="F118" s="18">
        <f t="shared" si="9"/>
        <v>2024</v>
      </c>
      <c r="G118" s="29">
        <v>45422</v>
      </c>
      <c r="H118" s="30">
        <v>136</v>
      </c>
      <c r="I118" s="32">
        <v>377700</v>
      </c>
      <c r="J118" s="32">
        <v>140732</v>
      </c>
      <c r="K118" s="32">
        <v>7037</v>
      </c>
      <c r="L118" s="32">
        <v>3000</v>
      </c>
      <c r="M118" s="32">
        <v>150769</v>
      </c>
      <c r="N118" s="33" t="s">
        <v>193</v>
      </c>
      <c r="O118" s="33" t="s">
        <v>28</v>
      </c>
    </row>
    <row r="119" ht="15.75" customHeight="1" spans="1:15">
      <c r="A119" s="27" t="s">
        <v>168</v>
      </c>
      <c r="B119" s="27" t="s">
        <v>29</v>
      </c>
      <c r="C119" s="39" t="s">
        <v>315</v>
      </c>
      <c r="D119" s="28">
        <v>45467</v>
      </c>
      <c r="E119" s="29" t="str">
        <f t="shared" si="8"/>
        <v>June</v>
      </c>
      <c r="F119" s="18">
        <f t="shared" si="9"/>
        <v>2024</v>
      </c>
      <c r="G119" s="40">
        <v>45422</v>
      </c>
      <c r="H119" s="41">
        <v>136</v>
      </c>
      <c r="I119" s="44">
        <v>377700</v>
      </c>
      <c r="J119" s="45">
        <v>140732</v>
      </c>
      <c r="K119" s="46">
        <v>7037</v>
      </c>
      <c r="L119" s="46">
        <v>3000</v>
      </c>
      <c r="M119" s="46">
        <v>150769</v>
      </c>
      <c r="N119" s="33" t="s">
        <v>193</v>
      </c>
      <c r="O119" s="33" t="s">
        <v>28</v>
      </c>
    </row>
    <row r="120" ht="15.75" customHeight="1" spans="1:15">
      <c r="A120" s="27" t="s">
        <v>168</v>
      </c>
      <c r="B120" s="27" t="s">
        <v>29</v>
      </c>
      <c r="C120" s="39" t="s">
        <v>316</v>
      </c>
      <c r="D120" s="28">
        <v>45468</v>
      </c>
      <c r="E120" s="29" t="str">
        <f t="shared" si="8"/>
        <v>June</v>
      </c>
      <c r="F120" s="18">
        <f t="shared" si="9"/>
        <v>2024</v>
      </c>
      <c r="G120" s="40">
        <v>45422</v>
      </c>
      <c r="H120" s="41">
        <v>136</v>
      </c>
      <c r="I120" s="44">
        <v>377700</v>
      </c>
      <c r="J120" s="45">
        <v>140732</v>
      </c>
      <c r="K120" s="46">
        <v>7037</v>
      </c>
      <c r="L120" s="46">
        <v>3000</v>
      </c>
      <c r="M120" s="46">
        <v>150769</v>
      </c>
      <c r="N120" s="33" t="s">
        <v>193</v>
      </c>
      <c r="O120" s="33" t="s">
        <v>28</v>
      </c>
    </row>
    <row r="121" ht="15.75" customHeight="1" spans="1:15">
      <c r="A121" s="27" t="s">
        <v>168</v>
      </c>
      <c r="B121" s="27" t="s">
        <v>29</v>
      </c>
      <c r="C121" s="39" t="s">
        <v>317</v>
      </c>
      <c r="D121" s="28">
        <v>45469</v>
      </c>
      <c r="E121" s="29" t="str">
        <f t="shared" si="8"/>
        <v>June</v>
      </c>
      <c r="F121" s="18">
        <f t="shared" si="9"/>
        <v>2024</v>
      </c>
      <c r="G121" s="40">
        <v>45422</v>
      </c>
      <c r="H121" s="41">
        <v>136</v>
      </c>
      <c r="I121" s="44">
        <v>377700</v>
      </c>
      <c r="J121" s="45">
        <v>140732</v>
      </c>
      <c r="K121" s="46">
        <v>7037</v>
      </c>
      <c r="L121" s="46">
        <v>3000</v>
      </c>
      <c r="M121" s="46">
        <v>150769</v>
      </c>
      <c r="N121" s="33" t="s">
        <v>193</v>
      </c>
      <c r="O121" s="33" t="s">
        <v>28</v>
      </c>
    </row>
    <row r="122" ht="15.75" customHeight="1" spans="1:15">
      <c r="A122" s="27" t="s">
        <v>168</v>
      </c>
      <c r="B122" s="27" t="s">
        <v>29</v>
      </c>
      <c r="C122" s="39" t="s">
        <v>318</v>
      </c>
      <c r="D122" s="28">
        <v>45471</v>
      </c>
      <c r="E122" s="29" t="str">
        <f t="shared" si="8"/>
        <v>June</v>
      </c>
      <c r="F122" s="18">
        <f t="shared" si="9"/>
        <v>2024</v>
      </c>
      <c r="G122" s="40">
        <v>45422</v>
      </c>
      <c r="H122" s="41">
        <v>131</v>
      </c>
      <c r="I122" s="44">
        <v>377700</v>
      </c>
      <c r="J122" s="45">
        <v>135558</v>
      </c>
      <c r="K122" s="46">
        <v>6778</v>
      </c>
      <c r="L122" s="46">
        <v>3000</v>
      </c>
      <c r="M122" s="46">
        <v>145336</v>
      </c>
      <c r="N122" s="33" t="s">
        <v>193</v>
      </c>
      <c r="O122" s="33" t="s">
        <v>28</v>
      </c>
    </row>
    <row r="123" ht="15.75" customHeight="1" spans="1:15">
      <c r="A123" s="27" t="s">
        <v>168</v>
      </c>
      <c r="B123" s="27" t="s">
        <v>29</v>
      </c>
      <c r="C123" s="39" t="s">
        <v>319</v>
      </c>
      <c r="D123" s="28">
        <v>45472</v>
      </c>
      <c r="E123" s="29" t="str">
        <f t="shared" si="8"/>
        <v>June</v>
      </c>
      <c r="F123" s="18">
        <f t="shared" si="9"/>
        <v>2024</v>
      </c>
      <c r="G123" s="40">
        <v>45422</v>
      </c>
      <c r="H123" s="41">
        <v>130</v>
      </c>
      <c r="I123" s="44">
        <v>377700</v>
      </c>
      <c r="J123" s="45">
        <v>134523</v>
      </c>
      <c r="K123" s="46">
        <v>6726</v>
      </c>
      <c r="L123" s="46">
        <v>3000</v>
      </c>
      <c r="M123" s="46">
        <v>144249</v>
      </c>
      <c r="N123" s="33" t="s">
        <v>193</v>
      </c>
      <c r="O123" s="33" t="s">
        <v>28</v>
      </c>
    </row>
    <row r="124" ht="15.75" customHeight="1" spans="1:15">
      <c r="A124" s="27" t="s">
        <v>168</v>
      </c>
      <c r="B124" s="27" t="s">
        <v>29</v>
      </c>
      <c r="C124" s="39" t="s">
        <v>320</v>
      </c>
      <c r="D124" s="42">
        <v>45388</v>
      </c>
      <c r="E124" s="29" t="str">
        <f t="shared" si="8"/>
        <v>April</v>
      </c>
      <c r="F124" s="18">
        <f t="shared" si="9"/>
        <v>2024</v>
      </c>
      <c r="G124" s="40">
        <v>45422</v>
      </c>
      <c r="H124" s="41">
        <v>124</v>
      </c>
      <c r="I124" s="44">
        <v>377700</v>
      </c>
      <c r="J124" s="45">
        <v>128315</v>
      </c>
      <c r="K124" s="46">
        <v>6416</v>
      </c>
      <c r="L124" s="46">
        <v>3000</v>
      </c>
      <c r="M124" s="46">
        <v>137730</v>
      </c>
      <c r="N124" s="33" t="s">
        <v>193</v>
      </c>
      <c r="O124" s="33" t="s">
        <v>28</v>
      </c>
    </row>
    <row r="125" ht="15.75" customHeight="1" spans="1:15">
      <c r="A125" s="27" t="s">
        <v>168</v>
      </c>
      <c r="B125" s="27" t="s">
        <v>29</v>
      </c>
      <c r="C125" s="39" t="s">
        <v>321</v>
      </c>
      <c r="D125" s="42">
        <v>45388</v>
      </c>
      <c r="E125" s="29" t="str">
        <f t="shared" si="8"/>
        <v>April</v>
      </c>
      <c r="F125" s="18">
        <f t="shared" si="9"/>
        <v>2024</v>
      </c>
      <c r="G125" s="40">
        <v>45422</v>
      </c>
      <c r="H125" s="41">
        <v>124</v>
      </c>
      <c r="I125" s="44">
        <v>377700</v>
      </c>
      <c r="J125" s="45">
        <v>128315</v>
      </c>
      <c r="K125" s="46">
        <v>6416</v>
      </c>
      <c r="L125" s="46">
        <v>3000</v>
      </c>
      <c r="M125" s="46">
        <v>137730</v>
      </c>
      <c r="N125" s="33" t="s">
        <v>193</v>
      </c>
      <c r="O125" s="33" t="s">
        <v>28</v>
      </c>
    </row>
    <row r="126" ht="15.75" customHeight="1" spans="1:15">
      <c r="A126" s="27" t="s">
        <v>168</v>
      </c>
      <c r="B126" s="27" t="s">
        <v>29</v>
      </c>
      <c r="C126" s="39" t="s">
        <v>322</v>
      </c>
      <c r="D126" s="42">
        <v>45418</v>
      </c>
      <c r="E126" s="29" t="str">
        <f t="shared" si="8"/>
        <v>May</v>
      </c>
      <c r="F126" s="18">
        <f t="shared" si="9"/>
        <v>2024</v>
      </c>
      <c r="G126" s="40">
        <v>45422</v>
      </c>
      <c r="H126" s="41">
        <v>123</v>
      </c>
      <c r="I126" s="44">
        <v>377700</v>
      </c>
      <c r="J126" s="45">
        <v>127280</v>
      </c>
      <c r="K126" s="46">
        <v>6364</v>
      </c>
      <c r="L126" s="46">
        <v>3000</v>
      </c>
      <c r="M126" s="46">
        <v>136644</v>
      </c>
      <c r="N126" s="33" t="s">
        <v>193</v>
      </c>
      <c r="O126" s="33" t="s">
        <v>28</v>
      </c>
    </row>
    <row r="127" ht="15.75" customHeight="1" spans="1:15">
      <c r="A127" s="27" t="s">
        <v>168</v>
      </c>
      <c r="B127" s="27" t="s">
        <v>29</v>
      </c>
      <c r="C127" s="39" t="s">
        <v>323</v>
      </c>
      <c r="D127" s="42">
        <v>45418</v>
      </c>
      <c r="E127" s="29" t="str">
        <f t="shared" si="8"/>
        <v>May</v>
      </c>
      <c r="F127" s="18">
        <f t="shared" si="9"/>
        <v>2024</v>
      </c>
      <c r="G127" s="40">
        <v>45422</v>
      </c>
      <c r="H127" s="41">
        <v>123</v>
      </c>
      <c r="I127" s="44">
        <v>377700</v>
      </c>
      <c r="J127" s="45">
        <v>127280</v>
      </c>
      <c r="K127" s="46">
        <v>6364</v>
      </c>
      <c r="L127" s="46">
        <v>3000</v>
      </c>
      <c r="M127" s="46">
        <v>136644</v>
      </c>
      <c r="N127" s="33" t="s">
        <v>193</v>
      </c>
      <c r="O127" s="33" t="s">
        <v>28</v>
      </c>
    </row>
    <row r="128" ht="15.75" customHeight="1" spans="1:15">
      <c r="A128" s="27" t="s">
        <v>168</v>
      </c>
      <c r="B128" s="27" t="s">
        <v>29</v>
      </c>
      <c r="C128" s="39" t="s">
        <v>324</v>
      </c>
      <c r="D128" s="42">
        <v>45418</v>
      </c>
      <c r="E128" s="29" t="str">
        <f t="shared" si="8"/>
        <v>May</v>
      </c>
      <c r="F128" s="18">
        <f t="shared" si="9"/>
        <v>2024</v>
      </c>
      <c r="G128" s="40">
        <v>45422</v>
      </c>
      <c r="H128" s="41">
        <v>123</v>
      </c>
      <c r="I128" s="44">
        <v>377700</v>
      </c>
      <c r="J128" s="45">
        <v>127280</v>
      </c>
      <c r="K128" s="46">
        <v>6364</v>
      </c>
      <c r="L128" s="46">
        <v>3000</v>
      </c>
      <c r="M128" s="46">
        <v>136644</v>
      </c>
      <c r="N128" s="33" t="s">
        <v>193</v>
      </c>
      <c r="O128" s="33" t="s">
        <v>28</v>
      </c>
    </row>
    <row r="129" ht="15.75" customHeight="1" spans="1:15">
      <c r="A129" s="27" t="s">
        <v>168</v>
      </c>
      <c r="B129" s="27" t="s">
        <v>29</v>
      </c>
      <c r="C129" s="39" t="s">
        <v>325</v>
      </c>
      <c r="D129" s="42">
        <v>45418</v>
      </c>
      <c r="E129" s="29" t="str">
        <f t="shared" si="8"/>
        <v>May</v>
      </c>
      <c r="F129" s="18">
        <f t="shared" si="9"/>
        <v>2024</v>
      </c>
      <c r="G129" s="40">
        <v>45422</v>
      </c>
      <c r="H129" s="41">
        <v>123</v>
      </c>
      <c r="I129" s="44">
        <v>377700</v>
      </c>
      <c r="J129" s="45">
        <v>127280</v>
      </c>
      <c r="K129" s="46">
        <v>6364</v>
      </c>
      <c r="L129" s="46">
        <v>3000</v>
      </c>
      <c r="M129" s="46">
        <v>136644</v>
      </c>
      <c r="N129" s="33" t="s">
        <v>193</v>
      </c>
      <c r="O129" s="33" t="s">
        <v>28</v>
      </c>
    </row>
    <row r="130" ht="15.75" customHeight="1" spans="1:15">
      <c r="A130" s="27" t="s">
        <v>168</v>
      </c>
      <c r="B130" s="27" t="s">
        <v>29</v>
      </c>
      <c r="C130" s="39" t="s">
        <v>326</v>
      </c>
      <c r="D130" s="42">
        <v>45418</v>
      </c>
      <c r="E130" s="29" t="str">
        <f t="shared" si="8"/>
        <v>May</v>
      </c>
      <c r="F130" s="18">
        <f t="shared" si="9"/>
        <v>2024</v>
      </c>
      <c r="G130" s="40">
        <v>45422</v>
      </c>
      <c r="H130" s="41">
        <v>123</v>
      </c>
      <c r="I130" s="44">
        <v>377700</v>
      </c>
      <c r="J130" s="45">
        <v>127280</v>
      </c>
      <c r="K130" s="46">
        <v>6364</v>
      </c>
      <c r="L130" s="46">
        <v>3000</v>
      </c>
      <c r="M130" s="46">
        <v>136644</v>
      </c>
      <c r="N130" s="33" t="s">
        <v>193</v>
      </c>
      <c r="O130" s="33" t="s">
        <v>28</v>
      </c>
    </row>
    <row r="131" ht="15.75" customHeight="1" spans="1:15">
      <c r="A131" s="27" t="s">
        <v>168</v>
      </c>
      <c r="B131" s="27" t="s">
        <v>29</v>
      </c>
      <c r="C131" s="39" t="s">
        <v>327</v>
      </c>
      <c r="D131" s="42">
        <v>45418</v>
      </c>
      <c r="E131" s="29" t="str">
        <f t="shared" ref="E131:E194" si="12">TEXT(D131,"mmmm")</f>
        <v>May</v>
      </c>
      <c r="F131" s="18">
        <f t="shared" ref="F131:F194" si="13">YEAR(D131)</f>
        <v>2024</v>
      </c>
      <c r="G131" s="40">
        <v>45422</v>
      </c>
      <c r="H131" s="41">
        <v>123</v>
      </c>
      <c r="I131" s="44">
        <v>377700</v>
      </c>
      <c r="J131" s="45">
        <v>127280</v>
      </c>
      <c r="K131" s="46">
        <v>6364</v>
      </c>
      <c r="L131" s="46">
        <v>3000</v>
      </c>
      <c r="M131" s="46">
        <v>136644</v>
      </c>
      <c r="N131" s="33" t="s">
        <v>193</v>
      </c>
      <c r="O131" s="33" t="s">
        <v>28</v>
      </c>
    </row>
    <row r="132" ht="15.75" customHeight="1" spans="1:15">
      <c r="A132" s="27" t="s">
        <v>168</v>
      </c>
      <c r="B132" s="27" t="s">
        <v>29</v>
      </c>
      <c r="C132" s="39" t="s">
        <v>328</v>
      </c>
      <c r="D132" s="42">
        <v>45479</v>
      </c>
      <c r="E132" s="29" t="str">
        <f t="shared" si="12"/>
        <v>July</v>
      </c>
      <c r="F132" s="18">
        <f t="shared" si="13"/>
        <v>2024</v>
      </c>
      <c r="G132" s="40">
        <v>45422</v>
      </c>
      <c r="H132" s="41">
        <v>121</v>
      </c>
      <c r="I132" s="44">
        <v>377700</v>
      </c>
      <c r="J132" s="45">
        <v>125210</v>
      </c>
      <c r="K132" s="46">
        <v>6261</v>
      </c>
      <c r="L132" s="46">
        <v>3000</v>
      </c>
      <c r="M132" s="46">
        <v>134471</v>
      </c>
      <c r="N132" s="33" t="s">
        <v>193</v>
      </c>
      <c r="O132" s="33" t="s">
        <v>28</v>
      </c>
    </row>
    <row r="133" ht="15.75" customHeight="1" spans="1:15">
      <c r="A133" s="27" t="s">
        <v>168</v>
      </c>
      <c r="B133" s="27" t="s">
        <v>29</v>
      </c>
      <c r="C133" s="39" t="s">
        <v>329</v>
      </c>
      <c r="D133" s="42">
        <v>45479</v>
      </c>
      <c r="E133" s="29" t="str">
        <f t="shared" si="12"/>
        <v>July</v>
      </c>
      <c r="F133" s="18">
        <f t="shared" si="13"/>
        <v>2024</v>
      </c>
      <c r="G133" s="40">
        <v>45422</v>
      </c>
      <c r="H133" s="41">
        <v>121</v>
      </c>
      <c r="I133" s="44">
        <v>377700</v>
      </c>
      <c r="J133" s="45">
        <v>125210</v>
      </c>
      <c r="K133" s="46">
        <v>6261</v>
      </c>
      <c r="L133" s="46">
        <v>3000</v>
      </c>
      <c r="M133" s="46">
        <v>134471</v>
      </c>
      <c r="N133" s="33" t="s">
        <v>193</v>
      </c>
      <c r="O133" s="33" t="s">
        <v>28</v>
      </c>
    </row>
    <row r="134" ht="15.75" customHeight="1" spans="1:15">
      <c r="A134" s="27" t="s">
        <v>168</v>
      </c>
      <c r="B134" s="27" t="s">
        <v>29</v>
      </c>
      <c r="C134" s="39" t="s">
        <v>330</v>
      </c>
      <c r="D134" s="42">
        <v>45571</v>
      </c>
      <c r="E134" s="29" t="str">
        <f t="shared" si="12"/>
        <v>October</v>
      </c>
      <c r="F134" s="18">
        <f t="shared" si="13"/>
        <v>2024</v>
      </c>
      <c r="G134" s="40">
        <v>45422</v>
      </c>
      <c r="H134" s="41">
        <v>118</v>
      </c>
      <c r="I134" s="44">
        <v>377700</v>
      </c>
      <c r="J134" s="45">
        <v>122106</v>
      </c>
      <c r="K134" s="46">
        <v>6105</v>
      </c>
      <c r="L134" s="46">
        <v>3000</v>
      </c>
      <c r="M134" s="46">
        <v>131211</v>
      </c>
      <c r="N134" s="33" t="s">
        <v>193</v>
      </c>
      <c r="O134" s="33" t="s">
        <v>28</v>
      </c>
    </row>
    <row r="135" ht="15.75" customHeight="1" spans="1:15">
      <c r="A135" s="27" t="s">
        <v>168</v>
      </c>
      <c r="B135" s="27" t="s">
        <v>29</v>
      </c>
      <c r="C135" s="39" t="s">
        <v>331</v>
      </c>
      <c r="D135" s="42">
        <v>45571</v>
      </c>
      <c r="E135" s="29" t="str">
        <f t="shared" si="12"/>
        <v>October</v>
      </c>
      <c r="F135" s="18">
        <f t="shared" si="13"/>
        <v>2024</v>
      </c>
      <c r="G135" s="40">
        <v>45422</v>
      </c>
      <c r="H135" s="41">
        <v>118</v>
      </c>
      <c r="I135" s="44">
        <v>377700</v>
      </c>
      <c r="J135" s="45">
        <v>122106</v>
      </c>
      <c r="K135" s="46">
        <v>6105</v>
      </c>
      <c r="L135" s="46">
        <v>3000</v>
      </c>
      <c r="M135" s="46">
        <v>131211</v>
      </c>
      <c r="N135" s="33" t="s">
        <v>193</v>
      </c>
      <c r="O135" s="33" t="s">
        <v>28</v>
      </c>
    </row>
    <row r="136" ht="15.75" customHeight="1" spans="1:15">
      <c r="A136" s="27" t="s">
        <v>168</v>
      </c>
      <c r="B136" s="27" t="s">
        <v>29</v>
      </c>
      <c r="C136" s="39" t="s">
        <v>332</v>
      </c>
      <c r="D136" s="42">
        <v>45571</v>
      </c>
      <c r="E136" s="29" t="str">
        <f t="shared" si="12"/>
        <v>October</v>
      </c>
      <c r="F136" s="18">
        <f t="shared" si="13"/>
        <v>2024</v>
      </c>
      <c r="G136" s="40">
        <v>45422</v>
      </c>
      <c r="H136" s="41">
        <v>118</v>
      </c>
      <c r="I136" s="44">
        <v>377700</v>
      </c>
      <c r="J136" s="45">
        <v>122106</v>
      </c>
      <c r="K136" s="46">
        <v>6105</v>
      </c>
      <c r="L136" s="46">
        <v>3000</v>
      </c>
      <c r="M136" s="46">
        <v>131211</v>
      </c>
      <c r="N136" s="33" t="s">
        <v>193</v>
      </c>
      <c r="O136" s="33" t="s">
        <v>28</v>
      </c>
    </row>
    <row r="137" ht="15.75" customHeight="1" spans="1:15">
      <c r="A137" s="27" t="s">
        <v>168</v>
      </c>
      <c r="B137" s="27" t="s">
        <v>29</v>
      </c>
      <c r="C137" s="39" t="s">
        <v>333</v>
      </c>
      <c r="D137" s="42">
        <v>45462</v>
      </c>
      <c r="E137" s="29" t="str">
        <f t="shared" si="12"/>
        <v>June</v>
      </c>
      <c r="F137" s="18">
        <f t="shared" si="13"/>
        <v>2024</v>
      </c>
      <c r="G137" s="40">
        <v>45422</v>
      </c>
      <c r="H137" s="41">
        <v>109</v>
      </c>
      <c r="I137" s="44">
        <v>377700</v>
      </c>
      <c r="J137" s="45">
        <v>112793</v>
      </c>
      <c r="K137" s="46">
        <v>5640</v>
      </c>
      <c r="L137" s="46">
        <v>3000</v>
      </c>
      <c r="M137" s="46">
        <v>121432</v>
      </c>
      <c r="N137" s="33" t="s">
        <v>193</v>
      </c>
      <c r="O137" s="33" t="s">
        <v>28</v>
      </c>
    </row>
    <row r="138" ht="15.75" customHeight="1" spans="1:15">
      <c r="A138" s="27" t="s">
        <v>168</v>
      </c>
      <c r="B138" s="27" t="s">
        <v>29</v>
      </c>
      <c r="C138" s="39" t="s">
        <v>334</v>
      </c>
      <c r="D138" s="42">
        <v>45462</v>
      </c>
      <c r="E138" s="29" t="str">
        <f t="shared" si="12"/>
        <v>June</v>
      </c>
      <c r="F138" s="18">
        <f t="shared" si="13"/>
        <v>2024</v>
      </c>
      <c r="G138" s="40">
        <v>45422</v>
      </c>
      <c r="H138" s="41">
        <v>109</v>
      </c>
      <c r="I138" s="44">
        <v>377700</v>
      </c>
      <c r="J138" s="45">
        <v>112793</v>
      </c>
      <c r="K138" s="46">
        <v>5640</v>
      </c>
      <c r="L138" s="46">
        <v>3000</v>
      </c>
      <c r="M138" s="46">
        <v>121432</v>
      </c>
      <c r="N138" s="33" t="s">
        <v>193</v>
      </c>
      <c r="O138" s="33" t="s">
        <v>28</v>
      </c>
    </row>
    <row r="139" ht="15.75" customHeight="1" spans="1:15">
      <c r="A139" s="27" t="s">
        <v>168</v>
      </c>
      <c r="B139" s="27" t="s">
        <v>29</v>
      </c>
      <c r="C139" s="39" t="s">
        <v>335</v>
      </c>
      <c r="D139" s="42">
        <v>45462</v>
      </c>
      <c r="E139" s="29" t="str">
        <f t="shared" si="12"/>
        <v>June</v>
      </c>
      <c r="F139" s="18">
        <f t="shared" si="13"/>
        <v>2024</v>
      </c>
      <c r="G139" s="40">
        <v>45422</v>
      </c>
      <c r="H139" s="41">
        <v>109</v>
      </c>
      <c r="I139" s="44">
        <v>377700</v>
      </c>
      <c r="J139" s="45">
        <v>112793</v>
      </c>
      <c r="K139" s="46">
        <v>5640</v>
      </c>
      <c r="L139" s="46">
        <v>3000</v>
      </c>
      <c r="M139" s="46">
        <v>121432</v>
      </c>
      <c r="N139" s="33" t="s">
        <v>193</v>
      </c>
      <c r="O139" s="33" t="s">
        <v>28</v>
      </c>
    </row>
    <row r="140" ht="15.75" customHeight="1" spans="1:15">
      <c r="A140" s="27" t="s">
        <v>168</v>
      </c>
      <c r="B140" s="27" t="s">
        <v>29</v>
      </c>
      <c r="C140" s="39" t="s">
        <v>336</v>
      </c>
      <c r="D140" s="42">
        <v>45462</v>
      </c>
      <c r="E140" s="29" t="str">
        <f t="shared" si="12"/>
        <v>June</v>
      </c>
      <c r="F140" s="18">
        <f t="shared" si="13"/>
        <v>2024</v>
      </c>
      <c r="G140" s="40">
        <v>45422</v>
      </c>
      <c r="H140" s="41">
        <v>109</v>
      </c>
      <c r="I140" s="44">
        <v>377700</v>
      </c>
      <c r="J140" s="45">
        <v>112793</v>
      </c>
      <c r="K140" s="46">
        <v>5640</v>
      </c>
      <c r="L140" s="46">
        <v>3000</v>
      </c>
      <c r="M140" s="46">
        <v>121432</v>
      </c>
      <c r="N140" s="33" t="s">
        <v>193</v>
      </c>
      <c r="O140" s="33" t="s">
        <v>28</v>
      </c>
    </row>
    <row r="141" ht="15.75" customHeight="1" spans="1:15">
      <c r="A141" s="27" t="s">
        <v>168</v>
      </c>
      <c r="B141" s="27" t="s">
        <v>29</v>
      </c>
      <c r="C141" s="39" t="s">
        <v>337</v>
      </c>
      <c r="D141" s="42">
        <v>45462</v>
      </c>
      <c r="E141" s="29" t="str">
        <f t="shared" si="12"/>
        <v>June</v>
      </c>
      <c r="F141" s="18">
        <f t="shared" si="13"/>
        <v>2024</v>
      </c>
      <c r="G141" s="40">
        <v>45422</v>
      </c>
      <c r="H141" s="41">
        <v>109</v>
      </c>
      <c r="I141" s="44">
        <v>377700</v>
      </c>
      <c r="J141" s="45">
        <v>112793</v>
      </c>
      <c r="K141" s="46">
        <v>5640</v>
      </c>
      <c r="L141" s="46">
        <v>3000</v>
      </c>
      <c r="M141" s="46">
        <v>121432</v>
      </c>
      <c r="N141" s="33" t="s">
        <v>193</v>
      </c>
      <c r="O141" s="33" t="s">
        <v>28</v>
      </c>
    </row>
    <row r="142" ht="15.75" customHeight="1" spans="1:15">
      <c r="A142" s="27" t="s">
        <v>168</v>
      </c>
      <c r="B142" s="27" t="s">
        <v>29</v>
      </c>
      <c r="C142" s="39" t="s">
        <v>338</v>
      </c>
      <c r="D142" s="42">
        <v>45462</v>
      </c>
      <c r="E142" s="29" t="str">
        <f t="shared" si="12"/>
        <v>June</v>
      </c>
      <c r="F142" s="18">
        <f t="shared" si="13"/>
        <v>2024</v>
      </c>
      <c r="G142" s="40">
        <v>45422</v>
      </c>
      <c r="H142" s="41">
        <v>109</v>
      </c>
      <c r="I142" s="44">
        <v>377700</v>
      </c>
      <c r="J142" s="45">
        <v>112793</v>
      </c>
      <c r="K142" s="46">
        <v>5640</v>
      </c>
      <c r="L142" s="46">
        <v>3000</v>
      </c>
      <c r="M142" s="46">
        <v>121432</v>
      </c>
      <c r="N142" s="33" t="s">
        <v>193</v>
      </c>
      <c r="O142" s="33" t="s">
        <v>28</v>
      </c>
    </row>
    <row r="143" ht="15.75" customHeight="1" spans="1:15">
      <c r="A143" s="27" t="s">
        <v>168</v>
      </c>
      <c r="B143" s="27" t="s">
        <v>29</v>
      </c>
      <c r="C143" s="39" t="s">
        <v>339</v>
      </c>
      <c r="D143" s="42">
        <v>45462</v>
      </c>
      <c r="E143" s="29" t="str">
        <f t="shared" si="12"/>
        <v>June</v>
      </c>
      <c r="F143" s="18">
        <f t="shared" si="13"/>
        <v>2024</v>
      </c>
      <c r="G143" s="40">
        <v>45422</v>
      </c>
      <c r="H143" s="41">
        <v>109</v>
      </c>
      <c r="I143" s="44">
        <v>377700</v>
      </c>
      <c r="J143" s="45">
        <v>112793</v>
      </c>
      <c r="K143" s="46">
        <v>5640</v>
      </c>
      <c r="L143" s="46">
        <v>6000</v>
      </c>
      <c r="M143" s="46">
        <v>124432</v>
      </c>
      <c r="N143" s="33" t="s">
        <v>193</v>
      </c>
      <c r="O143" s="33" t="s">
        <v>28</v>
      </c>
    </row>
    <row r="144" ht="15.75" customHeight="1" spans="1:15">
      <c r="A144" s="27" t="s">
        <v>168</v>
      </c>
      <c r="B144" s="27" t="s">
        <v>29</v>
      </c>
      <c r="C144" s="39" t="s">
        <v>340</v>
      </c>
      <c r="D144" s="42">
        <v>45462</v>
      </c>
      <c r="E144" s="29" t="str">
        <f t="shared" si="12"/>
        <v>June</v>
      </c>
      <c r="F144" s="18">
        <f t="shared" si="13"/>
        <v>2024</v>
      </c>
      <c r="G144" s="40">
        <v>45422</v>
      </c>
      <c r="H144" s="41">
        <v>109</v>
      </c>
      <c r="I144" s="44">
        <v>377700</v>
      </c>
      <c r="J144" s="45">
        <v>112793</v>
      </c>
      <c r="K144" s="46">
        <v>5640</v>
      </c>
      <c r="L144" s="46">
        <v>6000</v>
      </c>
      <c r="M144" s="46">
        <v>124432</v>
      </c>
      <c r="N144" s="33" t="s">
        <v>193</v>
      </c>
      <c r="O144" s="33" t="s">
        <v>28</v>
      </c>
    </row>
    <row r="145" ht="15.75" customHeight="1" spans="1:15">
      <c r="A145" s="27" t="s">
        <v>168</v>
      </c>
      <c r="B145" s="27" t="s">
        <v>29</v>
      </c>
      <c r="C145" s="39" t="s">
        <v>341</v>
      </c>
      <c r="D145" s="42">
        <v>45462</v>
      </c>
      <c r="E145" s="29" t="str">
        <f t="shared" si="12"/>
        <v>June</v>
      </c>
      <c r="F145" s="18">
        <f t="shared" si="13"/>
        <v>2024</v>
      </c>
      <c r="G145" s="40">
        <v>45422</v>
      </c>
      <c r="H145" s="41">
        <v>109</v>
      </c>
      <c r="I145" s="44">
        <v>377700</v>
      </c>
      <c r="J145" s="45">
        <v>112793</v>
      </c>
      <c r="K145" s="46">
        <v>5640</v>
      </c>
      <c r="L145" s="46">
        <v>3000</v>
      </c>
      <c r="M145" s="46">
        <v>121432</v>
      </c>
      <c r="N145" s="33" t="s">
        <v>193</v>
      </c>
      <c r="O145" s="33" t="s">
        <v>28</v>
      </c>
    </row>
    <row r="146" ht="15.75" customHeight="1" spans="1:15">
      <c r="A146" s="27" t="s">
        <v>168</v>
      </c>
      <c r="B146" s="27" t="s">
        <v>29</v>
      </c>
      <c r="C146" s="39" t="s">
        <v>342</v>
      </c>
      <c r="D146" s="42">
        <v>45462</v>
      </c>
      <c r="E146" s="29" t="str">
        <f t="shared" si="12"/>
        <v>June</v>
      </c>
      <c r="F146" s="18">
        <f t="shared" si="13"/>
        <v>2024</v>
      </c>
      <c r="G146" s="40">
        <v>45422</v>
      </c>
      <c r="H146" s="41">
        <v>109</v>
      </c>
      <c r="I146" s="44">
        <v>377700</v>
      </c>
      <c r="J146" s="45">
        <v>112793</v>
      </c>
      <c r="K146" s="46">
        <v>5640</v>
      </c>
      <c r="L146" s="46">
        <v>3000</v>
      </c>
      <c r="M146" s="46">
        <v>121432</v>
      </c>
      <c r="N146" s="33" t="s">
        <v>193</v>
      </c>
      <c r="O146" s="33" t="s">
        <v>28</v>
      </c>
    </row>
    <row r="147" ht="15.75" customHeight="1" spans="1:15">
      <c r="A147" s="27" t="s">
        <v>168</v>
      </c>
      <c r="B147" s="27" t="s">
        <v>29</v>
      </c>
      <c r="C147" s="39" t="s">
        <v>343</v>
      </c>
      <c r="D147" s="42">
        <v>45462</v>
      </c>
      <c r="E147" s="29" t="str">
        <f t="shared" si="12"/>
        <v>June</v>
      </c>
      <c r="F147" s="18">
        <f t="shared" si="13"/>
        <v>2024</v>
      </c>
      <c r="G147" s="40">
        <v>45422</v>
      </c>
      <c r="H147" s="41">
        <v>109</v>
      </c>
      <c r="I147" s="44">
        <v>377700</v>
      </c>
      <c r="J147" s="45">
        <v>112793</v>
      </c>
      <c r="K147" s="46">
        <v>5640</v>
      </c>
      <c r="L147" s="46">
        <v>3000</v>
      </c>
      <c r="M147" s="46">
        <v>121432</v>
      </c>
      <c r="N147" s="33" t="s">
        <v>193</v>
      </c>
      <c r="O147" s="33" t="s">
        <v>28</v>
      </c>
    </row>
    <row r="148" ht="15.75" customHeight="1" spans="1:15">
      <c r="A148" s="27" t="s">
        <v>168</v>
      </c>
      <c r="B148" s="27" t="s">
        <v>29</v>
      </c>
      <c r="C148" s="39" t="s">
        <v>344</v>
      </c>
      <c r="D148" s="42">
        <v>45462</v>
      </c>
      <c r="E148" s="29" t="str">
        <f t="shared" si="12"/>
        <v>June</v>
      </c>
      <c r="F148" s="18">
        <f t="shared" si="13"/>
        <v>2024</v>
      </c>
      <c r="G148" s="40">
        <v>45422</v>
      </c>
      <c r="H148" s="41">
        <v>109</v>
      </c>
      <c r="I148" s="44">
        <v>377700</v>
      </c>
      <c r="J148" s="45">
        <v>112793</v>
      </c>
      <c r="K148" s="46">
        <v>5640</v>
      </c>
      <c r="L148" s="46">
        <v>3000</v>
      </c>
      <c r="M148" s="46">
        <v>121432</v>
      </c>
      <c r="N148" s="33" t="s">
        <v>193</v>
      </c>
      <c r="O148" s="33" t="s">
        <v>28</v>
      </c>
    </row>
    <row r="149" ht="15.75" customHeight="1" spans="1:15">
      <c r="A149" s="27" t="s">
        <v>168</v>
      </c>
      <c r="B149" s="27" t="s">
        <v>29</v>
      </c>
      <c r="C149" s="39" t="s">
        <v>345</v>
      </c>
      <c r="D149" s="42">
        <v>45462</v>
      </c>
      <c r="E149" s="29" t="str">
        <f t="shared" si="12"/>
        <v>June</v>
      </c>
      <c r="F149" s="18">
        <f t="shared" si="13"/>
        <v>2024</v>
      </c>
      <c r="G149" s="40">
        <v>45422</v>
      </c>
      <c r="H149" s="41">
        <v>109</v>
      </c>
      <c r="I149" s="44">
        <v>377700</v>
      </c>
      <c r="J149" s="45">
        <v>112793</v>
      </c>
      <c r="K149" s="46">
        <v>5640</v>
      </c>
      <c r="L149" s="46">
        <v>3000</v>
      </c>
      <c r="M149" s="46">
        <v>121432</v>
      </c>
      <c r="N149" s="33" t="s">
        <v>193</v>
      </c>
      <c r="O149" s="33" t="s">
        <v>28</v>
      </c>
    </row>
    <row r="150" ht="15.75" customHeight="1" spans="1:15">
      <c r="A150" s="27" t="s">
        <v>168</v>
      </c>
      <c r="B150" s="27" t="s">
        <v>29</v>
      </c>
      <c r="C150" s="39" t="s">
        <v>346</v>
      </c>
      <c r="D150" s="42">
        <v>45462</v>
      </c>
      <c r="E150" s="29" t="str">
        <f t="shared" si="12"/>
        <v>June</v>
      </c>
      <c r="F150" s="18">
        <f t="shared" si="13"/>
        <v>2024</v>
      </c>
      <c r="G150" s="40">
        <v>45422</v>
      </c>
      <c r="H150" s="41">
        <v>109</v>
      </c>
      <c r="I150" s="44">
        <v>377700</v>
      </c>
      <c r="J150" s="45">
        <v>112793</v>
      </c>
      <c r="K150" s="46">
        <v>5640</v>
      </c>
      <c r="L150" s="46">
        <v>3000</v>
      </c>
      <c r="M150" s="46">
        <v>121432</v>
      </c>
      <c r="N150" s="33" t="s">
        <v>193</v>
      </c>
      <c r="O150" s="33" t="s">
        <v>28</v>
      </c>
    </row>
    <row r="151" ht="15.75" customHeight="1" spans="1:15">
      <c r="A151" s="27" t="s">
        <v>168</v>
      </c>
      <c r="B151" s="27" t="s">
        <v>29</v>
      </c>
      <c r="C151" s="39" t="s">
        <v>347</v>
      </c>
      <c r="D151" s="42">
        <v>45462</v>
      </c>
      <c r="E151" s="29" t="str">
        <f t="shared" si="12"/>
        <v>June</v>
      </c>
      <c r="F151" s="18">
        <f t="shared" si="13"/>
        <v>2024</v>
      </c>
      <c r="G151" s="40">
        <v>45422</v>
      </c>
      <c r="H151" s="41">
        <v>109</v>
      </c>
      <c r="I151" s="44">
        <v>377700</v>
      </c>
      <c r="J151" s="45">
        <v>112793</v>
      </c>
      <c r="K151" s="46">
        <v>5640</v>
      </c>
      <c r="L151" s="46">
        <v>3000</v>
      </c>
      <c r="M151" s="46">
        <v>121432</v>
      </c>
      <c r="N151" s="33" t="s">
        <v>193</v>
      </c>
      <c r="O151" s="33" t="s">
        <v>28</v>
      </c>
    </row>
    <row r="152" ht="15.75" customHeight="1" spans="1:15">
      <c r="A152" s="27" t="s">
        <v>168</v>
      </c>
      <c r="B152" s="27" t="s">
        <v>29</v>
      </c>
      <c r="C152" s="39" t="s">
        <v>348</v>
      </c>
      <c r="D152" s="42">
        <v>45463</v>
      </c>
      <c r="E152" s="29" t="str">
        <f t="shared" si="12"/>
        <v>June</v>
      </c>
      <c r="F152" s="18">
        <f t="shared" si="13"/>
        <v>2024</v>
      </c>
      <c r="G152" s="40">
        <v>45422</v>
      </c>
      <c r="H152" s="41">
        <v>108</v>
      </c>
      <c r="I152" s="44">
        <v>377700</v>
      </c>
      <c r="J152" s="45">
        <v>111758</v>
      </c>
      <c r="K152" s="46">
        <v>5588</v>
      </c>
      <c r="L152" s="46">
        <v>3000</v>
      </c>
      <c r="M152" s="46">
        <v>120346</v>
      </c>
      <c r="N152" s="33" t="s">
        <v>193</v>
      </c>
      <c r="O152" s="33" t="s">
        <v>28</v>
      </c>
    </row>
    <row r="153" ht="15.75" customHeight="1" spans="1:15">
      <c r="A153" s="27" t="s">
        <v>168</v>
      </c>
      <c r="B153" s="27" t="s">
        <v>29</v>
      </c>
      <c r="C153" s="39" t="s">
        <v>349</v>
      </c>
      <c r="D153" s="42">
        <v>45467</v>
      </c>
      <c r="E153" s="29" t="str">
        <f t="shared" si="12"/>
        <v>June</v>
      </c>
      <c r="F153" s="18">
        <f t="shared" si="13"/>
        <v>2024</v>
      </c>
      <c r="G153" s="40">
        <v>45422</v>
      </c>
      <c r="H153" s="41">
        <v>104</v>
      </c>
      <c r="I153" s="44">
        <v>377700</v>
      </c>
      <c r="J153" s="45">
        <v>107619</v>
      </c>
      <c r="K153" s="46">
        <v>5381</v>
      </c>
      <c r="L153" s="46">
        <v>3000</v>
      </c>
      <c r="M153" s="46">
        <v>116000</v>
      </c>
      <c r="N153" s="33" t="s">
        <v>193</v>
      </c>
      <c r="O153" s="33" t="s">
        <v>28</v>
      </c>
    </row>
    <row r="154" ht="15.75" customHeight="1" spans="1:15">
      <c r="A154" s="27" t="s">
        <v>168</v>
      </c>
      <c r="B154" s="27" t="s">
        <v>29</v>
      </c>
      <c r="C154" s="39" t="s">
        <v>350</v>
      </c>
      <c r="D154" s="42">
        <v>45469</v>
      </c>
      <c r="E154" s="29" t="str">
        <f t="shared" si="12"/>
        <v>June</v>
      </c>
      <c r="F154" s="18">
        <f t="shared" si="13"/>
        <v>2024</v>
      </c>
      <c r="G154" s="40">
        <v>45422</v>
      </c>
      <c r="H154" s="41">
        <v>102</v>
      </c>
      <c r="I154" s="44">
        <v>377700</v>
      </c>
      <c r="J154" s="45">
        <v>105549</v>
      </c>
      <c r="K154" s="46">
        <v>5277</v>
      </c>
      <c r="L154" s="46">
        <v>6000</v>
      </c>
      <c r="M154" s="46">
        <v>116826</v>
      </c>
      <c r="N154" s="33" t="s">
        <v>193</v>
      </c>
      <c r="O154" s="33" t="s">
        <v>28</v>
      </c>
    </row>
    <row r="155" ht="15.75" customHeight="1" spans="1:15">
      <c r="A155" s="27" t="s">
        <v>168</v>
      </c>
      <c r="B155" s="27" t="s">
        <v>29</v>
      </c>
      <c r="C155" s="39" t="s">
        <v>351</v>
      </c>
      <c r="D155" s="42">
        <v>45469</v>
      </c>
      <c r="E155" s="29" t="str">
        <f t="shared" si="12"/>
        <v>June</v>
      </c>
      <c r="F155" s="18">
        <f t="shared" si="13"/>
        <v>2024</v>
      </c>
      <c r="G155" s="40">
        <v>45422</v>
      </c>
      <c r="H155" s="41">
        <v>102</v>
      </c>
      <c r="I155" s="44">
        <v>377700</v>
      </c>
      <c r="J155" s="45">
        <v>105549</v>
      </c>
      <c r="K155" s="46">
        <v>5277</v>
      </c>
      <c r="L155" s="46">
        <v>3000</v>
      </c>
      <c r="M155" s="46">
        <v>113826</v>
      </c>
      <c r="N155" s="33" t="s">
        <v>193</v>
      </c>
      <c r="O155" s="33" t="s">
        <v>28</v>
      </c>
    </row>
    <row r="156" ht="15.75" customHeight="1" spans="1:15">
      <c r="A156" s="27" t="s">
        <v>168</v>
      </c>
      <c r="B156" s="27" t="s">
        <v>29</v>
      </c>
      <c r="C156" s="39" t="s">
        <v>352</v>
      </c>
      <c r="D156" s="42">
        <v>45469</v>
      </c>
      <c r="E156" s="29" t="str">
        <f t="shared" si="12"/>
        <v>June</v>
      </c>
      <c r="F156" s="18">
        <f t="shared" si="13"/>
        <v>2024</v>
      </c>
      <c r="G156" s="40">
        <v>45422</v>
      </c>
      <c r="H156" s="41">
        <v>102</v>
      </c>
      <c r="I156" s="44">
        <v>377700</v>
      </c>
      <c r="J156" s="45">
        <v>105549</v>
      </c>
      <c r="K156" s="46">
        <v>5277</v>
      </c>
      <c r="L156" s="46">
        <v>3000</v>
      </c>
      <c r="M156" s="46">
        <v>113826</v>
      </c>
      <c r="N156" s="33" t="s">
        <v>193</v>
      </c>
      <c r="O156" s="33" t="s">
        <v>28</v>
      </c>
    </row>
    <row r="157" ht="15.75" customHeight="1" spans="1:15">
      <c r="A157" s="27" t="s">
        <v>168</v>
      </c>
      <c r="B157" s="27" t="s">
        <v>29</v>
      </c>
      <c r="C157" s="39" t="s">
        <v>353</v>
      </c>
      <c r="D157" s="42">
        <v>45469</v>
      </c>
      <c r="E157" s="29" t="str">
        <f t="shared" si="12"/>
        <v>June</v>
      </c>
      <c r="F157" s="18">
        <f t="shared" si="13"/>
        <v>2024</v>
      </c>
      <c r="G157" s="40">
        <v>45422</v>
      </c>
      <c r="H157" s="41">
        <v>102</v>
      </c>
      <c r="I157" s="44">
        <v>377700</v>
      </c>
      <c r="J157" s="45">
        <v>105549</v>
      </c>
      <c r="K157" s="46">
        <v>5277</v>
      </c>
      <c r="L157" s="46">
        <v>3000</v>
      </c>
      <c r="M157" s="46">
        <v>113826</v>
      </c>
      <c r="N157" s="33" t="s">
        <v>193</v>
      </c>
      <c r="O157" s="33" t="s">
        <v>28</v>
      </c>
    </row>
    <row r="158" ht="15.75" customHeight="1" spans="1:15">
      <c r="A158" s="27" t="s">
        <v>168</v>
      </c>
      <c r="B158" s="27" t="s">
        <v>29</v>
      </c>
      <c r="C158" s="39" t="s">
        <v>354</v>
      </c>
      <c r="D158" s="42">
        <v>45469</v>
      </c>
      <c r="E158" s="29" t="str">
        <f t="shared" si="12"/>
        <v>June</v>
      </c>
      <c r="F158" s="18">
        <f t="shared" si="13"/>
        <v>2024</v>
      </c>
      <c r="G158" s="40">
        <v>45422</v>
      </c>
      <c r="H158" s="41">
        <v>102</v>
      </c>
      <c r="I158" s="44">
        <v>377700</v>
      </c>
      <c r="J158" s="45">
        <v>105549</v>
      </c>
      <c r="K158" s="46">
        <v>5277</v>
      </c>
      <c r="L158" s="46">
        <v>3000</v>
      </c>
      <c r="M158" s="46">
        <v>113826</v>
      </c>
      <c r="N158" s="33" t="s">
        <v>193</v>
      </c>
      <c r="O158" s="33" t="s">
        <v>28</v>
      </c>
    </row>
    <row r="159" ht="15.75" customHeight="1" spans="1:15">
      <c r="A159" s="27" t="s">
        <v>168</v>
      </c>
      <c r="B159" s="27" t="s">
        <v>29</v>
      </c>
      <c r="C159" s="39" t="s">
        <v>355</v>
      </c>
      <c r="D159" s="42">
        <v>45469</v>
      </c>
      <c r="E159" s="29" t="str">
        <f t="shared" si="12"/>
        <v>June</v>
      </c>
      <c r="F159" s="18">
        <f t="shared" si="13"/>
        <v>2024</v>
      </c>
      <c r="G159" s="40">
        <v>45422</v>
      </c>
      <c r="H159" s="41">
        <v>102</v>
      </c>
      <c r="I159" s="44">
        <v>377700</v>
      </c>
      <c r="J159" s="45">
        <v>105549</v>
      </c>
      <c r="K159" s="46">
        <v>5277</v>
      </c>
      <c r="L159" s="46">
        <v>3000</v>
      </c>
      <c r="M159" s="46">
        <v>113826</v>
      </c>
      <c r="N159" s="33" t="s">
        <v>193</v>
      </c>
      <c r="O159" s="33" t="s">
        <v>28</v>
      </c>
    </row>
    <row r="160" ht="15.75" customHeight="1" spans="1:15">
      <c r="A160" s="27" t="s">
        <v>168</v>
      </c>
      <c r="B160" s="27" t="s">
        <v>29</v>
      </c>
      <c r="C160" s="39" t="s">
        <v>356</v>
      </c>
      <c r="D160" s="42">
        <v>45469</v>
      </c>
      <c r="E160" s="29" t="str">
        <f t="shared" si="12"/>
        <v>June</v>
      </c>
      <c r="F160" s="18">
        <f t="shared" si="13"/>
        <v>2024</v>
      </c>
      <c r="G160" s="40">
        <v>45422</v>
      </c>
      <c r="H160" s="41">
        <v>102</v>
      </c>
      <c r="I160" s="44">
        <v>377700</v>
      </c>
      <c r="J160" s="45">
        <v>105549</v>
      </c>
      <c r="K160" s="46">
        <v>5277</v>
      </c>
      <c r="L160" s="46">
        <v>3000</v>
      </c>
      <c r="M160" s="46">
        <v>113826</v>
      </c>
      <c r="N160" s="33" t="s">
        <v>193</v>
      </c>
      <c r="O160" s="33" t="s">
        <v>28</v>
      </c>
    </row>
    <row r="161" ht="15.75" customHeight="1" spans="1:15">
      <c r="A161" s="27" t="s">
        <v>168</v>
      </c>
      <c r="B161" s="27" t="s">
        <v>29</v>
      </c>
      <c r="C161" s="39" t="s">
        <v>357</v>
      </c>
      <c r="D161" s="42">
        <v>45469</v>
      </c>
      <c r="E161" s="29" t="str">
        <f t="shared" si="12"/>
        <v>June</v>
      </c>
      <c r="F161" s="18">
        <f t="shared" si="13"/>
        <v>2024</v>
      </c>
      <c r="G161" s="40">
        <v>45422</v>
      </c>
      <c r="H161" s="41">
        <v>102</v>
      </c>
      <c r="I161" s="44">
        <v>377700</v>
      </c>
      <c r="J161" s="45">
        <v>105549</v>
      </c>
      <c r="K161" s="46">
        <v>5277</v>
      </c>
      <c r="L161" s="46">
        <v>3000</v>
      </c>
      <c r="M161" s="46">
        <v>113826</v>
      </c>
      <c r="N161" s="33" t="s">
        <v>193</v>
      </c>
      <c r="O161" s="33" t="s">
        <v>28</v>
      </c>
    </row>
    <row r="162" ht="15.75" customHeight="1" spans="1:15">
      <c r="A162" s="27" t="s">
        <v>168</v>
      </c>
      <c r="B162" s="27" t="s">
        <v>29</v>
      </c>
      <c r="C162" s="39" t="s">
        <v>358</v>
      </c>
      <c r="D162" s="42">
        <v>45469</v>
      </c>
      <c r="E162" s="29" t="str">
        <f t="shared" si="12"/>
        <v>June</v>
      </c>
      <c r="F162" s="18">
        <f t="shared" si="13"/>
        <v>2024</v>
      </c>
      <c r="G162" s="40">
        <v>45422</v>
      </c>
      <c r="H162" s="41">
        <v>102</v>
      </c>
      <c r="I162" s="44">
        <v>377700</v>
      </c>
      <c r="J162" s="45">
        <v>105549</v>
      </c>
      <c r="K162" s="46">
        <v>5277</v>
      </c>
      <c r="L162" s="46">
        <v>3000</v>
      </c>
      <c r="M162" s="46">
        <v>113826</v>
      </c>
      <c r="N162" s="33" t="s">
        <v>193</v>
      </c>
      <c r="O162" s="33" t="s">
        <v>28</v>
      </c>
    </row>
    <row r="163" ht="15.75" customHeight="1" spans="1:15">
      <c r="A163" s="27" t="s">
        <v>168</v>
      </c>
      <c r="B163" s="27" t="s">
        <v>29</v>
      </c>
      <c r="C163" s="39" t="s">
        <v>359</v>
      </c>
      <c r="D163" s="42">
        <v>45469</v>
      </c>
      <c r="E163" s="29" t="str">
        <f t="shared" si="12"/>
        <v>June</v>
      </c>
      <c r="F163" s="18">
        <f t="shared" si="13"/>
        <v>2024</v>
      </c>
      <c r="G163" s="40">
        <v>45422</v>
      </c>
      <c r="H163" s="41">
        <v>102</v>
      </c>
      <c r="I163" s="44">
        <v>377700</v>
      </c>
      <c r="J163" s="45">
        <v>105549</v>
      </c>
      <c r="K163" s="46">
        <v>5277</v>
      </c>
      <c r="L163" s="46">
        <v>3000</v>
      </c>
      <c r="M163" s="46">
        <v>113826</v>
      </c>
      <c r="N163" s="33" t="s">
        <v>193</v>
      </c>
      <c r="O163" s="33" t="s">
        <v>28</v>
      </c>
    </row>
    <row r="164" ht="15.75" customHeight="1" spans="1:15">
      <c r="A164" s="27" t="s">
        <v>168</v>
      </c>
      <c r="B164" s="27" t="s">
        <v>29</v>
      </c>
      <c r="C164" s="39" t="s">
        <v>360</v>
      </c>
      <c r="D164" s="42">
        <v>45469</v>
      </c>
      <c r="E164" s="29" t="str">
        <f t="shared" si="12"/>
        <v>June</v>
      </c>
      <c r="F164" s="18">
        <f t="shared" si="13"/>
        <v>2024</v>
      </c>
      <c r="G164" s="40">
        <v>45422</v>
      </c>
      <c r="H164" s="41">
        <v>102</v>
      </c>
      <c r="I164" s="44">
        <v>377700</v>
      </c>
      <c r="J164" s="45">
        <v>105549</v>
      </c>
      <c r="K164" s="46">
        <v>5277</v>
      </c>
      <c r="L164" s="46">
        <v>3000</v>
      </c>
      <c r="M164" s="46">
        <v>113826</v>
      </c>
      <c r="N164" s="33" t="s">
        <v>193</v>
      </c>
      <c r="O164" s="33" t="s">
        <v>28</v>
      </c>
    </row>
    <row r="165" ht="15.75" customHeight="1" spans="1:15">
      <c r="A165" s="27" t="s">
        <v>168</v>
      </c>
      <c r="B165" s="27" t="s">
        <v>29</v>
      </c>
      <c r="C165" s="39" t="s">
        <v>361</v>
      </c>
      <c r="D165" s="42">
        <v>45470</v>
      </c>
      <c r="E165" s="29" t="str">
        <f t="shared" si="12"/>
        <v>June</v>
      </c>
      <c r="F165" s="18">
        <f t="shared" si="13"/>
        <v>2024</v>
      </c>
      <c r="G165" s="40">
        <v>45422</v>
      </c>
      <c r="H165" s="41">
        <v>101</v>
      </c>
      <c r="I165" s="44">
        <v>377700</v>
      </c>
      <c r="J165" s="45">
        <v>104514</v>
      </c>
      <c r="K165" s="46">
        <v>5226</v>
      </c>
      <c r="L165" s="46">
        <v>3000</v>
      </c>
      <c r="M165" s="46">
        <v>112740</v>
      </c>
      <c r="N165" s="33" t="s">
        <v>193</v>
      </c>
      <c r="O165" s="33" t="s">
        <v>28</v>
      </c>
    </row>
    <row r="166" ht="15.75" customHeight="1" spans="1:15">
      <c r="A166" s="27" t="s">
        <v>168</v>
      </c>
      <c r="B166" s="27" t="s">
        <v>29</v>
      </c>
      <c r="C166" s="39" t="s">
        <v>362</v>
      </c>
      <c r="D166" s="42">
        <v>45470</v>
      </c>
      <c r="E166" s="29" t="str">
        <f t="shared" si="12"/>
        <v>June</v>
      </c>
      <c r="F166" s="18">
        <f t="shared" si="13"/>
        <v>2024</v>
      </c>
      <c r="G166" s="40">
        <v>45422</v>
      </c>
      <c r="H166" s="41">
        <v>101</v>
      </c>
      <c r="I166" s="44">
        <v>377700</v>
      </c>
      <c r="J166" s="45">
        <v>104514</v>
      </c>
      <c r="K166" s="46">
        <v>5226</v>
      </c>
      <c r="L166" s="46">
        <v>3000</v>
      </c>
      <c r="M166" s="46">
        <v>112740</v>
      </c>
      <c r="N166" s="33" t="s">
        <v>193</v>
      </c>
      <c r="O166" s="33" t="s">
        <v>28</v>
      </c>
    </row>
    <row r="167" ht="15.75" customHeight="1" spans="1:15">
      <c r="A167" s="27" t="s">
        <v>168</v>
      </c>
      <c r="B167" s="27" t="s">
        <v>29</v>
      </c>
      <c r="C167" s="39" t="s">
        <v>363</v>
      </c>
      <c r="D167" s="42">
        <v>45471</v>
      </c>
      <c r="E167" s="29" t="str">
        <f t="shared" si="12"/>
        <v>June</v>
      </c>
      <c r="F167" s="18">
        <f t="shared" si="13"/>
        <v>2024</v>
      </c>
      <c r="G167" s="40">
        <v>45422</v>
      </c>
      <c r="H167" s="41">
        <v>100</v>
      </c>
      <c r="I167" s="44">
        <v>377700</v>
      </c>
      <c r="J167" s="45">
        <v>103479</v>
      </c>
      <c r="K167" s="46">
        <v>5174</v>
      </c>
      <c r="L167" s="46">
        <v>3000</v>
      </c>
      <c r="M167" s="46">
        <v>111653</v>
      </c>
      <c r="N167" s="33" t="s">
        <v>193</v>
      </c>
      <c r="O167" s="33" t="s">
        <v>28</v>
      </c>
    </row>
    <row r="168" ht="15.75" customHeight="1" spans="1:15">
      <c r="A168" s="27" t="s">
        <v>168</v>
      </c>
      <c r="B168" s="27" t="s">
        <v>29</v>
      </c>
      <c r="C168" s="39" t="s">
        <v>364</v>
      </c>
      <c r="D168" s="42">
        <v>45471</v>
      </c>
      <c r="E168" s="29" t="str">
        <f t="shared" si="12"/>
        <v>June</v>
      </c>
      <c r="F168" s="18">
        <f t="shared" si="13"/>
        <v>2024</v>
      </c>
      <c r="G168" s="40">
        <v>45422</v>
      </c>
      <c r="H168" s="41">
        <v>96</v>
      </c>
      <c r="I168" s="44">
        <v>377700</v>
      </c>
      <c r="J168" s="45">
        <v>99340</v>
      </c>
      <c r="K168" s="46">
        <v>4967</v>
      </c>
      <c r="L168" s="46">
        <v>3000</v>
      </c>
      <c r="M168" s="46">
        <v>107307</v>
      </c>
      <c r="N168" s="33" t="s">
        <v>193</v>
      </c>
      <c r="O168" s="33" t="s">
        <v>28</v>
      </c>
    </row>
    <row r="169" ht="15.75" customHeight="1" spans="1:15">
      <c r="A169" s="27" t="s">
        <v>365</v>
      </c>
      <c r="B169" s="27" t="s">
        <v>29</v>
      </c>
      <c r="C169" s="27" t="s">
        <v>366</v>
      </c>
      <c r="D169" s="42">
        <v>45471</v>
      </c>
      <c r="E169" s="29" t="str">
        <f t="shared" si="12"/>
        <v>June</v>
      </c>
      <c r="F169" s="18">
        <f t="shared" si="13"/>
        <v>2024</v>
      </c>
      <c r="G169" s="40">
        <v>45588</v>
      </c>
      <c r="H169" s="41">
        <v>118</v>
      </c>
      <c r="I169" s="44">
        <v>414529</v>
      </c>
      <c r="J169" s="32">
        <v>134012</v>
      </c>
      <c r="K169" s="32">
        <v>6701</v>
      </c>
      <c r="L169" s="32">
        <v>10000</v>
      </c>
      <c r="M169" s="32">
        <v>150713</v>
      </c>
      <c r="N169" s="33" t="s">
        <v>193</v>
      </c>
      <c r="O169" s="33" t="s">
        <v>28</v>
      </c>
    </row>
    <row r="170" ht="15.75" customHeight="1" spans="1:15">
      <c r="A170" s="27" t="s">
        <v>365</v>
      </c>
      <c r="B170" s="27" t="s">
        <v>29</v>
      </c>
      <c r="C170" s="27" t="s">
        <v>367</v>
      </c>
      <c r="D170" s="42">
        <v>45329</v>
      </c>
      <c r="E170" s="29" t="str">
        <f t="shared" si="12"/>
        <v>February</v>
      </c>
      <c r="F170" s="18">
        <f t="shared" si="13"/>
        <v>2024</v>
      </c>
      <c r="G170" s="40">
        <v>45588</v>
      </c>
      <c r="H170" s="30">
        <v>114</v>
      </c>
      <c r="I170" s="44">
        <v>414529</v>
      </c>
      <c r="J170" s="32">
        <v>129469</v>
      </c>
      <c r="K170" s="32">
        <v>6473</v>
      </c>
      <c r="L170" s="32">
        <v>10000</v>
      </c>
      <c r="M170" s="32">
        <v>145943</v>
      </c>
      <c r="N170" s="33" t="s">
        <v>193</v>
      </c>
      <c r="O170" s="33" t="s">
        <v>28</v>
      </c>
    </row>
    <row r="171" ht="15.75" customHeight="1" spans="1:15">
      <c r="A171" s="27" t="s">
        <v>136</v>
      </c>
      <c r="B171" s="27" t="s">
        <v>38</v>
      </c>
      <c r="C171" s="27" t="s">
        <v>368</v>
      </c>
      <c r="D171" s="42">
        <v>45475</v>
      </c>
      <c r="E171" s="29" t="str">
        <f t="shared" si="12"/>
        <v>July</v>
      </c>
      <c r="F171" s="18">
        <f t="shared" si="13"/>
        <v>2024</v>
      </c>
      <c r="G171" s="40">
        <v>45494</v>
      </c>
      <c r="H171" s="30">
        <v>20</v>
      </c>
      <c r="I171" s="32">
        <v>876136</v>
      </c>
      <c r="J171" s="49">
        <v>47514</v>
      </c>
      <c r="K171" s="32">
        <v>2376</v>
      </c>
      <c r="L171" s="32">
        <v>10000</v>
      </c>
      <c r="M171" s="32">
        <v>59890</v>
      </c>
      <c r="N171" s="33" t="s">
        <v>193</v>
      </c>
      <c r="O171" s="33" t="s">
        <v>28</v>
      </c>
    </row>
    <row r="172" ht="15.75" customHeight="1" spans="1:15">
      <c r="A172" s="27" t="s">
        <v>136</v>
      </c>
      <c r="B172" s="27" t="s">
        <v>38</v>
      </c>
      <c r="C172" s="27" t="s">
        <v>368</v>
      </c>
      <c r="D172" s="42">
        <v>45495</v>
      </c>
      <c r="E172" s="29" t="str">
        <f t="shared" si="12"/>
        <v>July</v>
      </c>
      <c r="F172" s="18">
        <f t="shared" si="13"/>
        <v>2024</v>
      </c>
      <c r="G172" s="47">
        <v>45859</v>
      </c>
      <c r="H172" s="30">
        <v>365</v>
      </c>
      <c r="I172" s="32">
        <v>780422</v>
      </c>
      <c r="J172" s="49">
        <v>780422</v>
      </c>
      <c r="K172" s="32">
        <v>39021</v>
      </c>
      <c r="L172" s="32">
        <v>10000</v>
      </c>
      <c r="M172" s="32">
        <v>829444</v>
      </c>
      <c r="N172" s="33" t="s">
        <v>193</v>
      </c>
      <c r="O172" s="33" t="s">
        <v>28</v>
      </c>
    </row>
    <row r="173" ht="15.75" customHeight="1" spans="1:15">
      <c r="A173" s="27" t="s">
        <v>271</v>
      </c>
      <c r="B173" s="27" t="s">
        <v>29</v>
      </c>
      <c r="C173" s="27" t="s">
        <v>369</v>
      </c>
      <c r="D173" s="28">
        <v>45358</v>
      </c>
      <c r="E173" s="29" t="str">
        <f t="shared" si="12"/>
        <v>March</v>
      </c>
      <c r="F173" s="18">
        <f t="shared" si="13"/>
        <v>2024</v>
      </c>
      <c r="G173" s="48" t="s">
        <v>370</v>
      </c>
      <c r="H173" s="30">
        <v>120</v>
      </c>
      <c r="I173" s="32">
        <v>1364193</v>
      </c>
      <c r="J173" s="32">
        <v>448502</v>
      </c>
      <c r="K173" s="32">
        <v>22425</v>
      </c>
      <c r="L173" s="32">
        <v>40000</v>
      </c>
      <c r="M173" s="32">
        <v>510927</v>
      </c>
      <c r="N173" s="33" t="s">
        <v>193</v>
      </c>
      <c r="O173" s="33" t="s">
        <v>28</v>
      </c>
    </row>
    <row r="174" ht="15.75" customHeight="1" spans="1:15">
      <c r="A174" s="27" t="s">
        <v>371</v>
      </c>
      <c r="B174" s="27" t="s">
        <v>29</v>
      </c>
      <c r="C174" s="27" t="s">
        <v>372</v>
      </c>
      <c r="D174" s="28">
        <v>45329</v>
      </c>
      <c r="E174" s="29" t="str">
        <f t="shared" si="12"/>
        <v>February</v>
      </c>
      <c r="F174" s="18">
        <f t="shared" si="13"/>
        <v>2024</v>
      </c>
      <c r="G174" s="29">
        <v>45903</v>
      </c>
      <c r="H174" s="30">
        <v>251</v>
      </c>
      <c r="I174" s="32">
        <v>1428135</v>
      </c>
      <c r="J174" s="32">
        <v>982087</v>
      </c>
      <c r="K174" s="32">
        <v>49104</v>
      </c>
      <c r="L174" s="32">
        <v>60000</v>
      </c>
      <c r="M174" s="32">
        <v>1091192</v>
      </c>
      <c r="N174" s="33" t="s">
        <v>193</v>
      </c>
      <c r="O174" s="33" t="s">
        <v>28</v>
      </c>
    </row>
    <row r="175" ht="15.75" customHeight="1" spans="1:15">
      <c r="A175" s="27" t="s">
        <v>373</v>
      </c>
      <c r="B175" s="27" t="s">
        <v>34</v>
      </c>
      <c r="C175" s="27" t="s">
        <v>374</v>
      </c>
      <c r="D175" s="28">
        <v>45572</v>
      </c>
      <c r="E175" s="29" t="str">
        <f t="shared" si="12"/>
        <v>October</v>
      </c>
      <c r="F175" s="18">
        <f t="shared" si="13"/>
        <v>2024</v>
      </c>
      <c r="G175" s="29">
        <v>45901</v>
      </c>
      <c r="H175" s="30">
        <v>184</v>
      </c>
      <c r="I175" s="32">
        <v>1099448</v>
      </c>
      <c r="J175" s="32">
        <v>554242</v>
      </c>
      <c r="K175" s="32">
        <v>27712</v>
      </c>
      <c r="L175" s="32">
        <v>30000</v>
      </c>
      <c r="M175" s="32">
        <v>611954</v>
      </c>
      <c r="N175" s="33" t="s">
        <v>193</v>
      </c>
      <c r="O175" s="33" t="s">
        <v>28</v>
      </c>
    </row>
    <row r="176" ht="15.75" customHeight="1" spans="1:15">
      <c r="A176" s="27" t="s">
        <v>375</v>
      </c>
      <c r="B176" s="27" t="s">
        <v>34</v>
      </c>
      <c r="C176" s="27" t="s">
        <v>376</v>
      </c>
      <c r="D176" s="28">
        <v>45496</v>
      </c>
      <c r="E176" s="29" t="str">
        <f t="shared" si="12"/>
        <v>July</v>
      </c>
      <c r="F176" s="18">
        <f t="shared" si="13"/>
        <v>2024</v>
      </c>
      <c r="G176" s="29">
        <v>45848</v>
      </c>
      <c r="H176" s="30">
        <v>353</v>
      </c>
      <c r="I176" s="32">
        <v>180609</v>
      </c>
      <c r="J176" s="32">
        <v>174671</v>
      </c>
      <c r="K176" s="32">
        <v>8734</v>
      </c>
      <c r="L176" s="32">
        <v>5000</v>
      </c>
      <c r="M176" s="32">
        <v>188405</v>
      </c>
      <c r="N176" s="33" t="s">
        <v>193</v>
      </c>
      <c r="O176" s="33" t="s">
        <v>28</v>
      </c>
    </row>
    <row r="177" ht="15.75" customHeight="1" spans="1:15">
      <c r="A177" s="27" t="s">
        <v>377</v>
      </c>
      <c r="B177" s="27" t="s">
        <v>38</v>
      </c>
      <c r="C177" s="27" t="s">
        <v>378</v>
      </c>
      <c r="D177" s="28">
        <v>45491</v>
      </c>
      <c r="E177" s="29" t="str">
        <f t="shared" si="12"/>
        <v>July</v>
      </c>
      <c r="F177" s="18">
        <f t="shared" si="13"/>
        <v>2024</v>
      </c>
      <c r="G177" s="29">
        <v>45796</v>
      </c>
      <c r="H177" s="30">
        <v>306</v>
      </c>
      <c r="I177" s="32">
        <v>949649</v>
      </c>
      <c r="J177" s="32">
        <v>796144</v>
      </c>
      <c r="K177" s="32">
        <v>39809</v>
      </c>
      <c r="L177" s="32">
        <v>20000</v>
      </c>
      <c r="M177" s="32">
        <v>855951</v>
      </c>
      <c r="N177" s="33" t="s">
        <v>193</v>
      </c>
      <c r="O177" s="33" t="s">
        <v>28</v>
      </c>
    </row>
    <row r="178" ht="15.75" customHeight="1" spans="1:15">
      <c r="A178" s="27" t="s">
        <v>377</v>
      </c>
      <c r="B178" s="27" t="s">
        <v>38</v>
      </c>
      <c r="C178" s="27" t="s">
        <v>379</v>
      </c>
      <c r="D178" s="28">
        <v>45491</v>
      </c>
      <c r="E178" s="29" t="str">
        <f t="shared" si="12"/>
        <v>July</v>
      </c>
      <c r="F178" s="18">
        <f t="shared" si="13"/>
        <v>2024</v>
      </c>
      <c r="G178" s="29">
        <v>45796</v>
      </c>
      <c r="H178" s="30">
        <v>306</v>
      </c>
      <c r="I178" s="32">
        <v>190003</v>
      </c>
      <c r="J178" s="32">
        <v>159290</v>
      </c>
      <c r="K178" s="32">
        <v>7965</v>
      </c>
      <c r="L178" s="32">
        <v>5000</v>
      </c>
      <c r="M178" s="32">
        <v>172255</v>
      </c>
      <c r="N178" s="33" t="s">
        <v>193</v>
      </c>
      <c r="O178" s="33" t="s">
        <v>28</v>
      </c>
    </row>
    <row r="179" ht="15.75" customHeight="1" spans="1:15">
      <c r="A179" s="27" t="s">
        <v>377</v>
      </c>
      <c r="B179" s="27" t="s">
        <v>38</v>
      </c>
      <c r="C179" s="27" t="s">
        <v>380</v>
      </c>
      <c r="D179" s="28">
        <v>45492</v>
      </c>
      <c r="E179" s="29" t="str">
        <f t="shared" si="12"/>
        <v>July</v>
      </c>
      <c r="F179" s="18">
        <f t="shared" si="13"/>
        <v>2024</v>
      </c>
      <c r="G179" s="29">
        <v>45796</v>
      </c>
      <c r="H179" s="30">
        <v>305</v>
      </c>
      <c r="I179" s="32">
        <v>240225</v>
      </c>
      <c r="J179" s="32">
        <v>200736</v>
      </c>
      <c r="K179" s="32">
        <v>10037</v>
      </c>
      <c r="L179" s="32">
        <v>5000</v>
      </c>
      <c r="M179" s="32">
        <v>215773</v>
      </c>
      <c r="N179" s="33" t="s">
        <v>193</v>
      </c>
      <c r="O179" s="33" t="s">
        <v>28</v>
      </c>
    </row>
    <row r="180" ht="15.75" customHeight="1" spans="1:15">
      <c r="A180" s="27" t="s">
        <v>381</v>
      </c>
      <c r="B180" s="27" t="s">
        <v>29</v>
      </c>
      <c r="C180" s="27" t="s">
        <v>382</v>
      </c>
      <c r="D180" s="28">
        <v>45463</v>
      </c>
      <c r="E180" s="29" t="str">
        <f t="shared" si="12"/>
        <v>June</v>
      </c>
      <c r="F180" s="18">
        <f t="shared" si="13"/>
        <v>2024</v>
      </c>
      <c r="G180" s="29">
        <v>45777</v>
      </c>
      <c r="H180" s="30">
        <f>G180-D180+1</f>
        <v>315</v>
      </c>
      <c r="I180" s="32">
        <v>801375</v>
      </c>
      <c r="J180" s="32">
        <f>I180*H180/365</f>
        <v>691597.602739726</v>
      </c>
      <c r="K180" s="32">
        <f>J180*5%</f>
        <v>34579.8801369863</v>
      </c>
      <c r="L180" s="32">
        <v>50000</v>
      </c>
      <c r="M180" s="32">
        <f>SUM(J180:L180)</f>
        <v>776177.482876712</v>
      </c>
      <c r="N180" s="33" t="s">
        <v>193</v>
      </c>
      <c r="O180" s="33" t="s">
        <v>28</v>
      </c>
    </row>
    <row r="181" ht="15.75" customHeight="1" spans="1:15">
      <c r="A181" s="27" t="s">
        <v>381</v>
      </c>
      <c r="B181" s="27" t="s">
        <v>29</v>
      </c>
      <c r="C181" s="27" t="s">
        <v>383</v>
      </c>
      <c r="D181" s="28">
        <v>45463</v>
      </c>
      <c r="E181" s="29" t="str">
        <f t="shared" si="12"/>
        <v>June</v>
      </c>
      <c r="F181" s="18">
        <f t="shared" si="13"/>
        <v>2024</v>
      </c>
      <c r="G181" s="29">
        <v>45777</v>
      </c>
      <c r="H181" s="30">
        <f>G181-D181+1</f>
        <v>315</v>
      </c>
      <c r="I181" s="32">
        <v>801375</v>
      </c>
      <c r="J181" s="32">
        <f>I181*H181/365</f>
        <v>691597.602739726</v>
      </c>
      <c r="K181" s="32">
        <f>J181*5%</f>
        <v>34579.8801369863</v>
      </c>
      <c r="L181" s="32">
        <v>10000</v>
      </c>
      <c r="M181" s="32">
        <f>SUM(J181:L181)</f>
        <v>736177.482876712</v>
      </c>
      <c r="N181" s="33" t="s">
        <v>193</v>
      </c>
      <c r="O181" s="33" t="s">
        <v>28</v>
      </c>
    </row>
    <row r="182" ht="15.75" customHeight="1" spans="1:15">
      <c r="A182" s="27" t="s">
        <v>381</v>
      </c>
      <c r="B182" s="27" t="s">
        <v>29</v>
      </c>
      <c r="C182" s="27" t="s">
        <v>384</v>
      </c>
      <c r="D182" s="28">
        <v>45463</v>
      </c>
      <c r="E182" s="29" t="str">
        <f t="shared" si="12"/>
        <v>June</v>
      </c>
      <c r="F182" s="18">
        <f t="shared" si="13"/>
        <v>2024</v>
      </c>
      <c r="G182" s="29">
        <v>45777</v>
      </c>
      <c r="H182" s="30">
        <f>G182-D182+1</f>
        <v>315</v>
      </c>
      <c r="I182" s="32">
        <v>801375</v>
      </c>
      <c r="J182" s="32">
        <f>I182*H182/365</f>
        <v>691597.602739726</v>
      </c>
      <c r="K182" s="32">
        <f>J182*5%</f>
        <v>34579.8801369863</v>
      </c>
      <c r="L182" s="32">
        <v>10000</v>
      </c>
      <c r="M182" s="32">
        <f>SUM(J182:L182)</f>
        <v>736177.482876712</v>
      </c>
      <c r="N182" s="33" t="s">
        <v>193</v>
      </c>
      <c r="O182" s="33" t="s">
        <v>28</v>
      </c>
    </row>
    <row r="183" ht="15.75" customHeight="1" spans="1:15">
      <c r="A183" s="27" t="s">
        <v>385</v>
      </c>
      <c r="B183" s="27" t="s">
        <v>29</v>
      </c>
      <c r="C183" s="27" t="s">
        <v>386</v>
      </c>
      <c r="D183" s="28">
        <v>45498</v>
      </c>
      <c r="E183" s="29" t="str">
        <f t="shared" si="12"/>
        <v>July</v>
      </c>
      <c r="F183" s="18">
        <f t="shared" si="13"/>
        <v>2024</v>
      </c>
      <c r="G183" s="29">
        <v>45832</v>
      </c>
      <c r="H183" s="30">
        <v>335</v>
      </c>
      <c r="I183" s="32">
        <v>504665</v>
      </c>
      <c r="J183" s="32">
        <v>463185</v>
      </c>
      <c r="K183" s="32">
        <v>23159</v>
      </c>
      <c r="L183" s="32">
        <v>10000</v>
      </c>
      <c r="M183" s="32">
        <v>496345</v>
      </c>
      <c r="N183" s="33" t="s">
        <v>193</v>
      </c>
      <c r="O183" s="33" t="s">
        <v>28</v>
      </c>
    </row>
    <row r="184" ht="15.75" customHeight="1" spans="1:15">
      <c r="A184" s="27" t="s">
        <v>373</v>
      </c>
      <c r="B184" s="27" t="s">
        <v>34</v>
      </c>
      <c r="C184" s="27" t="s">
        <v>387</v>
      </c>
      <c r="D184" s="28">
        <v>45504</v>
      </c>
      <c r="E184" s="29" t="str">
        <f t="shared" si="12"/>
        <v>July</v>
      </c>
      <c r="F184" s="18">
        <f t="shared" si="13"/>
        <v>2024</v>
      </c>
      <c r="G184" s="29">
        <v>45666</v>
      </c>
      <c r="H184" s="30">
        <f>G184-D184+1</f>
        <v>163</v>
      </c>
      <c r="I184" s="32">
        <v>225268</v>
      </c>
      <c r="J184" s="32">
        <f t="shared" ref="J184:J224" si="14">I184*H184/365</f>
        <v>100599.134246575</v>
      </c>
      <c r="K184" s="32">
        <f t="shared" ref="K184:K224" si="15">J184*5%</f>
        <v>5029.95671232877</v>
      </c>
      <c r="L184" s="32">
        <v>10000</v>
      </c>
      <c r="M184" s="32">
        <f t="shared" ref="M184:M224" si="16">SUM(J184:L184)</f>
        <v>115629.090958904</v>
      </c>
      <c r="N184" s="33" t="s">
        <v>193</v>
      </c>
      <c r="O184" s="33" t="s">
        <v>28</v>
      </c>
    </row>
    <row r="185" ht="15.75" customHeight="1" spans="1:15">
      <c r="A185" s="27" t="s">
        <v>117</v>
      </c>
      <c r="B185" s="27" t="s">
        <v>29</v>
      </c>
      <c r="C185" s="27" t="s">
        <v>388</v>
      </c>
      <c r="D185" s="28">
        <v>45505</v>
      </c>
      <c r="E185" s="29" t="str">
        <f t="shared" si="12"/>
        <v>August</v>
      </c>
      <c r="F185" s="18">
        <f t="shared" si="13"/>
        <v>2024</v>
      </c>
      <c r="G185" s="29">
        <v>45709</v>
      </c>
      <c r="H185" s="30">
        <v>205</v>
      </c>
      <c r="I185" s="32">
        <v>133012</v>
      </c>
      <c r="J185" s="32">
        <f t="shared" si="14"/>
        <v>74705.3698630137</v>
      </c>
      <c r="K185" s="32">
        <f t="shared" si="15"/>
        <v>3735.26849315068</v>
      </c>
      <c r="L185" s="32">
        <v>10000</v>
      </c>
      <c r="M185" s="32">
        <f t="shared" si="16"/>
        <v>88440.6383561644</v>
      </c>
      <c r="N185" s="33" t="s">
        <v>193</v>
      </c>
      <c r="O185" s="33" t="s">
        <v>28</v>
      </c>
    </row>
    <row r="186" ht="15.75" customHeight="1" spans="1:15">
      <c r="A186" s="27" t="s">
        <v>117</v>
      </c>
      <c r="B186" s="27" t="s">
        <v>29</v>
      </c>
      <c r="C186" s="27" t="s">
        <v>389</v>
      </c>
      <c r="D186" s="28">
        <v>45505</v>
      </c>
      <c r="E186" s="29" t="str">
        <f t="shared" si="12"/>
        <v>August</v>
      </c>
      <c r="F186" s="18">
        <f t="shared" si="13"/>
        <v>2024</v>
      </c>
      <c r="G186" s="29">
        <v>45709</v>
      </c>
      <c r="H186" s="30">
        <v>205</v>
      </c>
      <c r="I186" s="32">
        <v>133012</v>
      </c>
      <c r="J186" s="32">
        <f t="shared" si="14"/>
        <v>74705.3698630137</v>
      </c>
      <c r="K186" s="32">
        <f t="shared" si="15"/>
        <v>3735.26849315068</v>
      </c>
      <c r="L186" s="32">
        <v>10000</v>
      </c>
      <c r="M186" s="32">
        <f t="shared" si="16"/>
        <v>88440.6383561644</v>
      </c>
      <c r="N186" s="33" t="s">
        <v>193</v>
      </c>
      <c r="O186" s="33" t="s">
        <v>28</v>
      </c>
    </row>
    <row r="187" ht="15.75" customHeight="1" spans="1:15">
      <c r="A187" s="27" t="s">
        <v>390</v>
      </c>
      <c r="B187" s="27" t="s">
        <v>29</v>
      </c>
      <c r="C187" s="27" t="s">
        <v>391</v>
      </c>
      <c r="D187" s="28">
        <v>45509</v>
      </c>
      <c r="E187" s="29" t="str">
        <f t="shared" si="12"/>
        <v>August</v>
      </c>
      <c r="F187" s="18">
        <f t="shared" si="13"/>
        <v>2024</v>
      </c>
      <c r="G187" s="29">
        <v>45693</v>
      </c>
      <c r="H187" s="30">
        <f t="shared" ref="H187:H224" si="17">G187-D187+1</f>
        <v>185</v>
      </c>
      <c r="I187" s="32">
        <v>1265350</v>
      </c>
      <c r="J187" s="32">
        <f t="shared" si="14"/>
        <v>641341.780821918</v>
      </c>
      <c r="K187" s="32">
        <f t="shared" si="15"/>
        <v>32067.0890410959</v>
      </c>
      <c r="L187" s="32">
        <v>40000</v>
      </c>
      <c r="M187" s="32">
        <f t="shared" si="16"/>
        <v>713408.869863014</v>
      </c>
      <c r="N187" s="33" t="s">
        <v>193</v>
      </c>
      <c r="O187" s="33" t="s">
        <v>28</v>
      </c>
    </row>
    <row r="188" ht="15.75" customHeight="1" spans="1:15">
      <c r="A188" s="27" t="s">
        <v>390</v>
      </c>
      <c r="B188" s="27" t="s">
        <v>29</v>
      </c>
      <c r="C188" s="27" t="s">
        <v>392</v>
      </c>
      <c r="D188" s="28">
        <v>45509</v>
      </c>
      <c r="E188" s="29" t="str">
        <f t="shared" si="12"/>
        <v>August</v>
      </c>
      <c r="F188" s="18">
        <f t="shared" si="13"/>
        <v>2024</v>
      </c>
      <c r="G188" s="29">
        <v>45693</v>
      </c>
      <c r="H188" s="30">
        <f t="shared" si="17"/>
        <v>185</v>
      </c>
      <c r="I188" s="32">
        <v>1265350</v>
      </c>
      <c r="J188" s="32">
        <f t="shared" si="14"/>
        <v>641341.780821918</v>
      </c>
      <c r="K188" s="32">
        <f t="shared" si="15"/>
        <v>32067.0890410959</v>
      </c>
      <c r="L188" s="32">
        <v>20000</v>
      </c>
      <c r="M188" s="32">
        <f t="shared" si="16"/>
        <v>693408.869863014</v>
      </c>
      <c r="N188" s="33" t="s">
        <v>193</v>
      </c>
      <c r="O188" s="33" t="s">
        <v>28</v>
      </c>
    </row>
    <row r="189" ht="15.75" customHeight="1" spans="1:15">
      <c r="A189" s="27" t="s">
        <v>390</v>
      </c>
      <c r="B189" s="27" t="s">
        <v>29</v>
      </c>
      <c r="C189" s="27" t="s">
        <v>393</v>
      </c>
      <c r="D189" s="28">
        <v>45511</v>
      </c>
      <c r="E189" s="29" t="str">
        <f t="shared" si="12"/>
        <v>August</v>
      </c>
      <c r="F189" s="18">
        <f t="shared" si="13"/>
        <v>2024</v>
      </c>
      <c r="G189" s="29">
        <v>45693</v>
      </c>
      <c r="H189" s="30">
        <f t="shared" si="17"/>
        <v>183</v>
      </c>
      <c r="I189" s="32">
        <v>1265350</v>
      </c>
      <c r="J189" s="32">
        <f t="shared" si="14"/>
        <v>634408.356164384</v>
      </c>
      <c r="K189" s="32">
        <f t="shared" si="15"/>
        <v>31720.4178082192</v>
      </c>
      <c r="L189" s="32">
        <v>10000</v>
      </c>
      <c r="M189" s="32">
        <f t="shared" si="16"/>
        <v>676128.773972603</v>
      </c>
      <c r="N189" s="33" t="s">
        <v>193</v>
      </c>
      <c r="O189" s="33" t="s">
        <v>28</v>
      </c>
    </row>
    <row r="190" ht="15.75" customHeight="1" spans="1:15">
      <c r="A190" s="27" t="s">
        <v>167</v>
      </c>
      <c r="B190" s="27" t="s">
        <v>29</v>
      </c>
      <c r="C190" s="27" t="s">
        <v>394</v>
      </c>
      <c r="D190" s="28">
        <v>45521</v>
      </c>
      <c r="E190" s="29" t="str">
        <f t="shared" si="12"/>
        <v>August</v>
      </c>
      <c r="F190" s="18">
        <f t="shared" si="13"/>
        <v>2024</v>
      </c>
      <c r="G190" s="29">
        <v>45559</v>
      </c>
      <c r="H190" s="30">
        <f t="shared" si="17"/>
        <v>39</v>
      </c>
      <c r="I190" s="32">
        <v>210228</v>
      </c>
      <c r="J190" s="32">
        <f t="shared" si="14"/>
        <v>22462.7178082192</v>
      </c>
      <c r="K190" s="32">
        <f t="shared" si="15"/>
        <v>1123.13589041096</v>
      </c>
      <c r="L190" s="32">
        <v>10000</v>
      </c>
      <c r="M190" s="32">
        <f t="shared" si="16"/>
        <v>33585.8536986301</v>
      </c>
      <c r="N190" s="33" t="s">
        <v>193</v>
      </c>
      <c r="O190" s="33" t="s">
        <v>28</v>
      </c>
    </row>
    <row r="191" ht="15.75" customHeight="1" spans="1:15">
      <c r="A191" s="27" t="s">
        <v>395</v>
      </c>
      <c r="B191" s="27" t="s">
        <v>34</v>
      </c>
      <c r="C191" s="27" t="s">
        <v>396</v>
      </c>
      <c r="D191" s="28">
        <v>45510</v>
      </c>
      <c r="E191" s="29" t="str">
        <f t="shared" si="12"/>
        <v>August</v>
      </c>
      <c r="F191" s="18">
        <f t="shared" si="13"/>
        <v>2024</v>
      </c>
      <c r="G191" s="29">
        <v>45852</v>
      </c>
      <c r="H191" s="30">
        <f t="shared" si="17"/>
        <v>343</v>
      </c>
      <c r="I191" s="32">
        <v>436309</v>
      </c>
      <c r="J191" s="32">
        <f t="shared" si="14"/>
        <v>410010.923287671</v>
      </c>
      <c r="K191" s="32">
        <f t="shared" si="15"/>
        <v>20500.5461643836</v>
      </c>
      <c r="L191" s="32">
        <v>5000</v>
      </c>
      <c r="M191" s="32">
        <f t="shared" si="16"/>
        <v>435511.469452055</v>
      </c>
      <c r="N191" s="33" t="s">
        <v>193</v>
      </c>
      <c r="O191" s="33" t="s">
        <v>28</v>
      </c>
    </row>
    <row r="192" ht="15.75" customHeight="1" spans="1:15">
      <c r="A192" s="27" t="s">
        <v>397</v>
      </c>
      <c r="B192" s="27" t="s">
        <v>29</v>
      </c>
      <c r="C192" s="27" t="s">
        <v>398</v>
      </c>
      <c r="D192" s="28">
        <v>45532</v>
      </c>
      <c r="E192" s="29" t="str">
        <f t="shared" si="12"/>
        <v>August</v>
      </c>
      <c r="F192" s="18">
        <f t="shared" si="13"/>
        <v>2024</v>
      </c>
      <c r="G192" s="29">
        <v>45819</v>
      </c>
      <c r="H192" s="30">
        <f t="shared" si="17"/>
        <v>288</v>
      </c>
      <c r="I192" s="32">
        <v>480109</v>
      </c>
      <c r="J192" s="32">
        <f t="shared" si="14"/>
        <v>378825.731506849</v>
      </c>
      <c r="K192" s="32">
        <f t="shared" si="15"/>
        <v>18941.2865753425</v>
      </c>
      <c r="L192" s="32">
        <v>10000</v>
      </c>
      <c r="M192" s="32">
        <f t="shared" si="16"/>
        <v>407767.018082192</v>
      </c>
      <c r="N192" s="33" t="s">
        <v>193</v>
      </c>
      <c r="O192" s="33" t="s">
        <v>28</v>
      </c>
    </row>
    <row r="193" ht="15.75" customHeight="1" spans="1:15">
      <c r="A193" s="27" t="s">
        <v>126</v>
      </c>
      <c r="B193" s="27" t="s">
        <v>34</v>
      </c>
      <c r="C193" s="27" t="s">
        <v>399</v>
      </c>
      <c r="D193" s="28">
        <v>45532</v>
      </c>
      <c r="E193" s="29" t="str">
        <f t="shared" si="12"/>
        <v>August</v>
      </c>
      <c r="F193" s="18">
        <f t="shared" si="13"/>
        <v>2024</v>
      </c>
      <c r="G193" s="29">
        <v>45771</v>
      </c>
      <c r="H193" s="30">
        <f t="shared" si="17"/>
        <v>240</v>
      </c>
      <c r="I193" s="32">
        <v>491798</v>
      </c>
      <c r="J193" s="32">
        <f t="shared" si="14"/>
        <v>323374.02739726</v>
      </c>
      <c r="K193" s="32">
        <f t="shared" si="15"/>
        <v>16168.701369863</v>
      </c>
      <c r="L193" s="32">
        <v>10000</v>
      </c>
      <c r="M193" s="32">
        <f t="shared" si="16"/>
        <v>349542.728767123</v>
      </c>
      <c r="N193" s="33" t="s">
        <v>193</v>
      </c>
      <c r="O193" s="33" t="s">
        <v>28</v>
      </c>
    </row>
    <row r="194" ht="15.75" customHeight="1" spans="1:15">
      <c r="A194" s="27" t="s">
        <v>117</v>
      </c>
      <c r="B194" s="27" t="s">
        <v>29</v>
      </c>
      <c r="C194" s="27" t="s">
        <v>400</v>
      </c>
      <c r="D194" s="28">
        <v>45536</v>
      </c>
      <c r="E194" s="29" t="str">
        <f t="shared" si="12"/>
        <v>September</v>
      </c>
      <c r="F194" s="18">
        <f t="shared" si="13"/>
        <v>2024</v>
      </c>
      <c r="G194" s="29">
        <v>45709</v>
      </c>
      <c r="H194" s="30">
        <f t="shared" si="17"/>
        <v>174</v>
      </c>
      <c r="I194" s="32">
        <v>297868</v>
      </c>
      <c r="J194" s="32">
        <f t="shared" si="14"/>
        <v>141997.347945205</v>
      </c>
      <c r="K194" s="32">
        <f t="shared" si="15"/>
        <v>7099.86739726027</v>
      </c>
      <c r="L194" s="32">
        <v>10000</v>
      </c>
      <c r="M194" s="32">
        <f t="shared" si="16"/>
        <v>159097.215342466</v>
      </c>
      <c r="N194" s="33" t="s">
        <v>193</v>
      </c>
      <c r="O194" s="33" t="s">
        <v>28</v>
      </c>
    </row>
    <row r="195" ht="15.75" customHeight="1" spans="1:15">
      <c r="A195" s="27" t="s">
        <v>117</v>
      </c>
      <c r="B195" s="27" t="s">
        <v>29</v>
      </c>
      <c r="C195" s="27" t="s">
        <v>401</v>
      </c>
      <c r="D195" s="28">
        <v>45536</v>
      </c>
      <c r="E195" s="29" t="str">
        <f t="shared" ref="E195:E224" si="18">TEXT(D195,"mmmm")</f>
        <v>September</v>
      </c>
      <c r="F195" s="18">
        <f t="shared" ref="F195:F224" si="19">YEAR(D195)</f>
        <v>2024</v>
      </c>
      <c r="G195" s="29">
        <v>45709</v>
      </c>
      <c r="H195" s="30">
        <f t="shared" si="17"/>
        <v>174</v>
      </c>
      <c r="I195" s="32">
        <v>297868</v>
      </c>
      <c r="J195" s="32">
        <f t="shared" si="14"/>
        <v>141997.347945205</v>
      </c>
      <c r="K195" s="32">
        <f t="shared" si="15"/>
        <v>7099.86739726027</v>
      </c>
      <c r="L195" s="32">
        <v>10000</v>
      </c>
      <c r="M195" s="32">
        <f t="shared" si="16"/>
        <v>159097.215342466</v>
      </c>
      <c r="N195" s="33" t="s">
        <v>193</v>
      </c>
      <c r="O195" s="33" t="s">
        <v>28</v>
      </c>
    </row>
    <row r="196" ht="15.75" customHeight="1" spans="1:15">
      <c r="A196" s="27" t="s">
        <v>117</v>
      </c>
      <c r="B196" s="27" t="s">
        <v>29</v>
      </c>
      <c r="C196" s="27" t="s">
        <v>402</v>
      </c>
      <c r="D196" s="28">
        <v>45536</v>
      </c>
      <c r="E196" s="29" t="str">
        <f t="shared" si="18"/>
        <v>September</v>
      </c>
      <c r="F196" s="18">
        <f t="shared" si="19"/>
        <v>2024</v>
      </c>
      <c r="G196" s="29">
        <v>45709</v>
      </c>
      <c r="H196" s="30">
        <f t="shared" si="17"/>
        <v>174</v>
      </c>
      <c r="I196" s="32">
        <v>133012</v>
      </c>
      <c r="J196" s="32">
        <f t="shared" si="14"/>
        <v>63408.4602739726</v>
      </c>
      <c r="K196" s="32">
        <f t="shared" si="15"/>
        <v>3170.42301369863</v>
      </c>
      <c r="L196" s="32">
        <v>10000</v>
      </c>
      <c r="M196" s="32">
        <f t="shared" si="16"/>
        <v>76578.8832876712</v>
      </c>
      <c r="N196" s="33" t="s">
        <v>193</v>
      </c>
      <c r="O196" s="33" t="s">
        <v>28</v>
      </c>
    </row>
    <row r="197" ht="15.75" customHeight="1" spans="1:15">
      <c r="A197" s="27" t="s">
        <v>148</v>
      </c>
      <c r="B197" s="27" t="s">
        <v>34</v>
      </c>
      <c r="C197" s="27" t="s">
        <v>403</v>
      </c>
      <c r="D197" s="28">
        <v>45536</v>
      </c>
      <c r="E197" s="29" t="str">
        <f t="shared" si="18"/>
        <v>September</v>
      </c>
      <c r="F197" s="18">
        <f t="shared" si="19"/>
        <v>2024</v>
      </c>
      <c r="G197" s="29">
        <v>45774</v>
      </c>
      <c r="H197" s="30">
        <f t="shared" si="17"/>
        <v>239</v>
      </c>
      <c r="I197" s="32">
        <v>490359</v>
      </c>
      <c r="J197" s="32">
        <f t="shared" si="14"/>
        <v>321084.38630137</v>
      </c>
      <c r="K197" s="32">
        <f t="shared" si="15"/>
        <v>16054.2193150685</v>
      </c>
      <c r="L197" s="32">
        <v>5000</v>
      </c>
      <c r="M197" s="32">
        <f t="shared" si="16"/>
        <v>342138.605616438</v>
      </c>
      <c r="N197" s="33" t="s">
        <v>193</v>
      </c>
      <c r="O197" s="33" t="s">
        <v>28</v>
      </c>
    </row>
    <row r="198" ht="15.75" customHeight="1" spans="1:15">
      <c r="A198" s="27" t="s">
        <v>148</v>
      </c>
      <c r="B198" s="27" t="s">
        <v>34</v>
      </c>
      <c r="C198" s="27" t="s">
        <v>404</v>
      </c>
      <c r="D198" s="28">
        <v>45536</v>
      </c>
      <c r="E198" s="29" t="str">
        <f t="shared" si="18"/>
        <v>September</v>
      </c>
      <c r="F198" s="18">
        <f t="shared" si="19"/>
        <v>2024</v>
      </c>
      <c r="G198" s="29">
        <v>45774</v>
      </c>
      <c r="H198" s="30">
        <f t="shared" si="17"/>
        <v>239</v>
      </c>
      <c r="I198" s="32">
        <v>490359</v>
      </c>
      <c r="J198" s="32">
        <f t="shared" si="14"/>
        <v>321084.38630137</v>
      </c>
      <c r="K198" s="32">
        <f t="shared" si="15"/>
        <v>16054.2193150685</v>
      </c>
      <c r="L198" s="32">
        <v>5000</v>
      </c>
      <c r="M198" s="32">
        <f t="shared" si="16"/>
        <v>342138.605616438</v>
      </c>
      <c r="N198" s="33" t="s">
        <v>193</v>
      </c>
      <c r="O198" s="33" t="s">
        <v>28</v>
      </c>
    </row>
    <row r="199" ht="15.75" customHeight="1" spans="1:15">
      <c r="A199" s="27" t="s">
        <v>148</v>
      </c>
      <c r="B199" s="27" t="s">
        <v>34</v>
      </c>
      <c r="C199" s="27" t="s">
        <v>405</v>
      </c>
      <c r="D199" s="28">
        <v>45536</v>
      </c>
      <c r="E199" s="29" t="str">
        <f t="shared" si="18"/>
        <v>September</v>
      </c>
      <c r="F199" s="18">
        <f t="shared" si="19"/>
        <v>2024</v>
      </c>
      <c r="G199" s="29">
        <v>45774</v>
      </c>
      <c r="H199" s="30">
        <f t="shared" si="17"/>
        <v>239</v>
      </c>
      <c r="I199" s="32">
        <v>490359</v>
      </c>
      <c r="J199" s="32">
        <f t="shared" si="14"/>
        <v>321084.38630137</v>
      </c>
      <c r="K199" s="32">
        <f t="shared" si="15"/>
        <v>16054.2193150685</v>
      </c>
      <c r="L199" s="32">
        <v>5000</v>
      </c>
      <c r="M199" s="32">
        <f t="shared" si="16"/>
        <v>342138.605616438</v>
      </c>
      <c r="N199" s="33" t="s">
        <v>193</v>
      </c>
      <c r="O199" s="33" t="s">
        <v>28</v>
      </c>
    </row>
    <row r="200" ht="15.75" customHeight="1" spans="1:15">
      <c r="A200" s="27" t="s">
        <v>148</v>
      </c>
      <c r="B200" s="27" t="s">
        <v>34</v>
      </c>
      <c r="C200" s="27" t="s">
        <v>406</v>
      </c>
      <c r="D200" s="28">
        <v>45536</v>
      </c>
      <c r="E200" s="29" t="str">
        <f t="shared" si="18"/>
        <v>September</v>
      </c>
      <c r="F200" s="18">
        <f t="shared" si="19"/>
        <v>2024</v>
      </c>
      <c r="G200" s="29">
        <v>45774</v>
      </c>
      <c r="H200" s="30">
        <f t="shared" si="17"/>
        <v>239</v>
      </c>
      <c r="I200" s="32">
        <v>490359</v>
      </c>
      <c r="J200" s="32">
        <f t="shared" si="14"/>
        <v>321084.38630137</v>
      </c>
      <c r="K200" s="32">
        <f t="shared" si="15"/>
        <v>16054.2193150685</v>
      </c>
      <c r="L200" s="32">
        <v>5000</v>
      </c>
      <c r="M200" s="32">
        <f t="shared" si="16"/>
        <v>342138.605616438</v>
      </c>
      <c r="N200" s="33" t="s">
        <v>193</v>
      </c>
      <c r="O200" s="33" t="s">
        <v>28</v>
      </c>
    </row>
    <row r="201" ht="15.75" customHeight="1" spans="1:15">
      <c r="A201" s="27" t="s">
        <v>148</v>
      </c>
      <c r="B201" s="27" t="s">
        <v>34</v>
      </c>
      <c r="C201" s="27" t="s">
        <v>407</v>
      </c>
      <c r="D201" s="28">
        <v>45536</v>
      </c>
      <c r="E201" s="29" t="str">
        <f t="shared" si="18"/>
        <v>September</v>
      </c>
      <c r="F201" s="18">
        <f t="shared" si="19"/>
        <v>2024</v>
      </c>
      <c r="G201" s="29">
        <v>45774</v>
      </c>
      <c r="H201" s="30">
        <f t="shared" si="17"/>
        <v>239</v>
      </c>
      <c r="I201" s="32">
        <v>490359</v>
      </c>
      <c r="J201" s="32">
        <f t="shared" si="14"/>
        <v>321084.38630137</v>
      </c>
      <c r="K201" s="32">
        <f t="shared" si="15"/>
        <v>16054.2193150685</v>
      </c>
      <c r="L201" s="32">
        <v>5000</v>
      </c>
      <c r="M201" s="32">
        <f t="shared" si="16"/>
        <v>342138.605616438</v>
      </c>
      <c r="N201" s="33" t="s">
        <v>193</v>
      </c>
      <c r="O201" s="33" t="s">
        <v>28</v>
      </c>
    </row>
    <row r="202" ht="15.75" customHeight="1" spans="1:15">
      <c r="A202" s="27" t="s">
        <v>148</v>
      </c>
      <c r="B202" s="27" t="s">
        <v>34</v>
      </c>
      <c r="C202" s="27" t="s">
        <v>408</v>
      </c>
      <c r="D202" s="28">
        <v>45536</v>
      </c>
      <c r="E202" s="29" t="str">
        <f t="shared" si="18"/>
        <v>September</v>
      </c>
      <c r="F202" s="18">
        <f t="shared" si="19"/>
        <v>2024</v>
      </c>
      <c r="G202" s="29">
        <v>45774</v>
      </c>
      <c r="H202" s="30">
        <f t="shared" si="17"/>
        <v>239</v>
      </c>
      <c r="I202" s="32">
        <v>490359</v>
      </c>
      <c r="J202" s="32">
        <f t="shared" si="14"/>
        <v>321084.38630137</v>
      </c>
      <c r="K202" s="32">
        <f t="shared" si="15"/>
        <v>16054.2193150685</v>
      </c>
      <c r="L202" s="32">
        <v>5000</v>
      </c>
      <c r="M202" s="32">
        <f t="shared" si="16"/>
        <v>342138.605616438</v>
      </c>
      <c r="N202" s="33" t="s">
        <v>193</v>
      </c>
      <c r="O202" s="33" t="s">
        <v>28</v>
      </c>
    </row>
    <row r="203" ht="15.75" customHeight="1" spans="1:15">
      <c r="A203" s="27" t="s">
        <v>148</v>
      </c>
      <c r="B203" s="27" t="s">
        <v>34</v>
      </c>
      <c r="C203" s="27" t="s">
        <v>409</v>
      </c>
      <c r="D203" s="28">
        <v>45536</v>
      </c>
      <c r="E203" s="29" t="str">
        <f t="shared" si="18"/>
        <v>September</v>
      </c>
      <c r="F203" s="18">
        <f t="shared" si="19"/>
        <v>2024</v>
      </c>
      <c r="G203" s="29">
        <v>45774</v>
      </c>
      <c r="H203" s="30">
        <f t="shared" si="17"/>
        <v>239</v>
      </c>
      <c r="I203" s="32">
        <v>490359</v>
      </c>
      <c r="J203" s="32">
        <f t="shared" si="14"/>
        <v>321084.38630137</v>
      </c>
      <c r="K203" s="32">
        <f t="shared" si="15"/>
        <v>16054.2193150685</v>
      </c>
      <c r="L203" s="32">
        <v>5000</v>
      </c>
      <c r="M203" s="32">
        <f t="shared" si="16"/>
        <v>342138.605616438</v>
      </c>
      <c r="N203" s="33" t="s">
        <v>193</v>
      </c>
      <c r="O203" s="33" t="s">
        <v>28</v>
      </c>
    </row>
    <row r="204" ht="15.75" customHeight="1" spans="1:15">
      <c r="A204" s="27" t="s">
        <v>148</v>
      </c>
      <c r="B204" s="27" t="s">
        <v>34</v>
      </c>
      <c r="C204" s="27" t="s">
        <v>410</v>
      </c>
      <c r="D204" s="28">
        <v>45536</v>
      </c>
      <c r="E204" s="29" t="str">
        <f t="shared" si="18"/>
        <v>September</v>
      </c>
      <c r="F204" s="18">
        <f t="shared" si="19"/>
        <v>2024</v>
      </c>
      <c r="G204" s="29">
        <v>45774</v>
      </c>
      <c r="H204" s="30">
        <f t="shared" si="17"/>
        <v>239</v>
      </c>
      <c r="I204" s="32">
        <v>490359</v>
      </c>
      <c r="J204" s="32">
        <f t="shared" si="14"/>
        <v>321084.38630137</v>
      </c>
      <c r="K204" s="32">
        <f t="shared" si="15"/>
        <v>16054.2193150685</v>
      </c>
      <c r="L204" s="32">
        <v>5000</v>
      </c>
      <c r="M204" s="32">
        <f t="shared" si="16"/>
        <v>342138.605616438</v>
      </c>
      <c r="N204" s="33" t="s">
        <v>193</v>
      </c>
      <c r="O204" s="33" t="s">
        <v>28</v>
      </c>
    </row>
    <row r="205" ht="15.75" customHeight="1" spans="1:15">
      <c r="A205" s="27" t="s">
        <v>148</v>
      </c>
      <c r="B205" s="27" t="s">
        <v>34</v>
      </c>
      <c r="C205" s="27" t="s">
        <v>411</v>
      </c>
      <c r="D205" s="28">
        <v>45536</v>
      </c>
      <c r="E205" s="29" t="str">
        <f t="shared" si="18"/>
        <v>September</v>
      </c>
      <c r="F205" s="18">
        <f t="shared" si="19"/>
        <v>2024</v>
      </c>
      <c r="G205" s="29">
        <v>45774</v>
      </c>
      <c r="H205" s="30">
        <f t="shared" si="17"/>
        <v>239</v>
      </c>
      <c r="I205" s="32">
        <v>490359</v>
      </c>
      <c r="J205" s="32">
        <f t="shared" si="14"/>
        <v>321084.38630137</v>
      </c>
      <c r="K205" s="32">
        <f t="shared" si="15"/>
        <v>16054.2193150685</v>
      </c>
      <c r="L205" s="32">
        <v>5000</v>
      </c>
      <c r="M205" s="32">
        <f t="shared" si="16"/>
        <v>342138.605616438</v>
      </c>
      <c r="N205" s="33" t="s">
        <v>193</v>
      </c>
      <c r="O205" s="33" t="s">
        <v>28</v>
      </c>
    </row>
    <row r="206" ht="15.75" customHeight="1" spans="1:15">
      <c r="A206" s="27" t="s">
        <v>148</v>
      </c>
      <c r="B206" s="27" t="s">
        <v>34</v>
      </c>
      <c r="C206" s="27" t="s">
        <v>412</v>
      </c>
      <c r="D206" s="28">
        <v>45536</v>
      </c>
      <c r="E206" s="29" t="str">
        <f t="shared" si="18"/>
        <v>September</v>
      </c>
      <c r="F206" s="18">
        <f t="shared" si="19"/>
        <v>2024</v>
      </c>
      <c r="G206" s="29">
        <v>45774</v>
      </c>
      <c r="H206" s="30">
        <f t="shared" si="17"/>
        <v>239</v>
      </c>
      <c r="I206" s="32">
        <v>490359</v>
      </c>
      <c r="J206" s="32">
        <f t="shared" si="14"/>
        <v>321084.38630137</v>
      </c>
      <c r="K206" s="32">
        <f t="shared" si="15"/>
        <v>16054.2193150685</v>
      </c>
      <c r="L206" s="32">
        <v>5000</v>
      </c>
      <c r="M206" s="32">
        <f t="shared" si="16"/>
        <v>342138.605616438</v>
      </c>
      <c r="N206" s="33" t="s">
        <v>193</v>
      </c>
      <c r="O206" s="33" t="s">
        <v>28</v>
      </c>
    </row>
    <row r="207" ht="15.75" customHeight="1" spans="1:15">
      <c r="A207" s="27" t="s">
        <v>148</v>
      </c>
      <c r="B207" s="27" t="s">
        <v>34</v>
      </c>
      <c r="C207" s="27" t="s">
        <v>413</v>
      </c>
      <c r="D207" s="28">
        <v>45536</v>
      </c>
      <c r="E207" s="29" t="str">
        <f t="shared" si="18"/>
        <v>September</v>
      </c>
      <c r="F207" s="18">
        <f t="shared" si="19"/>
        <v>2024</v>
      </c>
      <c r="G207" s="29">
        <v>45774</v>
      </c>
      <c r="H207" s="30">
        <f t="shared" si="17"/>
        <v>239</v>
      </c>
      <c r="I207" s="32">
        <v>490359</v>
      </c>
      <c r="J207" s="32">
        <f t="shared" si="14"/>
        <v>321084.38630137</v>
      </c>
      <c r="K207" s="32">
        <f t="shared" si="15"/>
        <v>16054.2193150685</v>
      </c>
      <c r="L207" s="32">
        <v>5000</v>
      </c>
      <c r="M207" s="32">
        <f t="shared" si="16"/>
        <v>342138.605616438</v>
      </c>
      <c r="N207" s="33" t="s">
        <v>193</v>
      </c>
      <c r="O207" s="33" t="s">
        <v>28</v>
      </c>
    </row>
    <row r="208" ht="15.75" customHeight="1" spans="1:15">
      <c r="A208" s="27" t="s">
        <v>148</v>
      </c>
      <c r="B208" s="27" t="s">
        <v>34</v>
      </c>
      <c r="C208" s="27" t="s">
        <v>414</v>
      </c>
      <c r="D208" s="28">
        <v>45536</v>
      </c>
      <c r="E208" s="29" t="str">
        <f t="shared" si="18"/>
        <v>September</v>
      </c>
      <c r="F208" s="18">
        <f t="shared" si="19"/>
        <v>2024</v>
      </c>
      <c r="G208" s="29">
        <v>45774</v>
      </c>
      <c r="H208" s="30">
        <f t="shared" si="17"/>
        <v>239</v>
      </c>
      <c r="I208" s="32">
        <v>490359</v>
      </c>
      <c r="J208" s="32">
        <f t="shared" si="14"/>
        <v>321084.38630137</v>
      </c>
      <c r="K208" s="32">
        <f t="shared" si="15"/>
        <v>16054.2193150685</v>
      </c>
      <c r="L208" s="32">
        <v>5000</v>
      </c>
      <c r="M208" s="32">
        <f t="shared" si="16"/>
        <v>342138.605616438</v>
      </c>
      <c r="N208" s="33" t="s">
        <v>193</v>
      </c>
      <c r="O208" s="33" t="s">
        <v>28</v>
      </c>
    </row>
    <row r="209" ht="15.75" customHeight="1" spans="1:15">
      <c r="A209" s="27" t="s">
        <v>148</v>
      </c>
      <c r="B209" s="27" t="s">
        <v>34</v>
      </c>
      <c r="C209" s="27" t="s">
        <v>415</v>
      </c>
      <c r="D209" s="28">
        <v>45536</v>
      </c>
      <c r="E209" s="29" t="str">
        <f t="shared" si="18"/>
        <v>September</v>
      </c>
      <c r="F209" s="18">
        <f t="shared" si="19"/>
        <v>2024</v>
      </c>
      <c r="G209" s="29">
        <v>45774</v>
      </c>
      <c r="H209" s="30">
        <f t="shared" si="17"/>
        <v>239</v>
      </c>
      <c r="I209" s="32">
        <v>490359</v>
      </c>
      <c r="J209" s="32">
        <f t="shared" si="14"/>
        <v>321084.38630137</v>
      </c>
      <c r="K209" s="32">
        <f t="shared" si="15"/>
        <v>16054.2193150685</v>
      </c>
      <c r="L209" s="32">
        <v>5000</v>
      </c>
      <c r="M209" s="32">
        <f t="shared" si="16"/>
        <v>342138.605616438</v>
      </c>
      <c r="N209" s="33" t="s">
        <v>193</v>
      </c>
      <c r="O209" s="33" t="s">
        <v>28</v>
      </c>
    </row>
    <row r="210" ht="15.75" customHeight="1" spans="1:15">
      <c r="A210" s="27" t="s">
        <v>148</v>
      </c>
      <c r="B210" s="27" t="s">
        <v>34</v>
      </c>
      <c r="C210" s="27" t="s">
        <v>416</v>
      </c>
      <c r="D210" s="28">
        <v>45536</v>
      </c>
      <c r="E210" s="29" t="str">
        <f t="shared" si="18"/>
        <v>September</v>
      </c>
      <c r="F210" s="18">
        <f t="shared" si="19"/>
        <v>2024</v>
      </c>
      <c r="G210" s="29">
        <v>45774</v>
      </c>
      <c r="H210" s="30">
        <f t="shared" si="17"/>
        <v>239</v>
      </c>
      <c r="I210" s="32">
        <v>490359</v>
      </c>
      <c r="J210" s="32">
        <f t="shared" si="14"/>
        <v>321084.38630137</v>
      </c>
      <c r="K210" s="32">
        <f t="shared" si="15"/>
        <v>16054.2193150685</v>
      </c>
      <c r="L210" s="32">
        <v>5000</v>
      </c>
      <c r="M210" s="32">
        <f t="shared" si="16"/>
        <v>342138.605616438</v>
      </c>
      <c r="N210" s="33" t="s">
        <v>193</v>
      </c>
      <c r="O210" s="33" t="s">
        <v>28</v>
      </c>
    </row>
    <row r="211" ht="15.75" customHeight="1" spans="1:15">
      <c r="A211" s="27" t="s">
        <v>148</v>
      </c>
      <c r="B211" s="27" t="s">
        <v>34</v>
      </c>
      <c r="C211" s="27" t="s">
        <v>417</v>
      </c>
      <c r="D211" s="28">
        <v>45536</v>
      </c>
      <c r="E211" s="29" t="str">
        <f t="shared" si="18"/>
        <v>September</v>
      </c>
      <c r="F211" s="18">
        <f t="shared" si="19"/>
        <v>2024</v>
      </c>
      <c r="G211" s="29">
        <v>45774</v>
      </c>
      <c r="H211" s="30">
        <f t="shared" si="17"/>
        <v>239</v>
      </c>
      <c r="I211" s="32">
        <v>490359</v>
      </c>
      <c r="J211" s="32">
        <f t="shared" si="14"/>
        <v>321084.38630137</v>
      </c>
      <c r="K211" s="32">
        <f t="shared" si="15"/>
        <v>16054.2193150685</v>
      </c>
      <c r="L211" s="32">
        <v>5000</v>
      </c>
      <c r="M211" s="32">
        <f t="shared" si="16"/>
        <v>342138.605616438</v>
      </c>
      <c r="N211" s="33" t="s">
        <v>193</v>
      </c>
      <c r="O211" s="33" t="s">
        <v>28</v>
      </c>
    </row>
    <row r="212" ht="15.75" customHeight="1" spans="1:15">
      <c r="A212" s="27" t="s">
        <v>148</v>
      </c>
      <c r="B212" s="27" t="s">
        <v>34</v>
      </c>
      <c r="C212" s="27" t="s">
        <v>418</v>
      </c>
      <c r="D212" s="28">
        <v>45536</v>
      </c>
      <c r="E212" s="29" t="str">
        <f t="shared" si="18"/>
        <v>September</v>
      </c>
      <c r="F212" s="18">
        <f t="shared" si="19"/>
        <v>2024</v>
      </c>
      <c r="G212" s="29">
        <v>45774</v>
      </c>
      <c r="H212" s="30">
        <f t="shared" si="17"/>
        <v>239</v>
      </c>
      <c r="I212" s="32">
        <v>490359</v>
      </c>
      <c r="J212" s="32">
        <f t="shared" si="14"/>
        <v>321084.38630137</v>
      </c>
      <c r="K212" s="32">
        <f t="shared" si="15"/>
        <v>16054.2193150685</v>
      </c>
      <c r="L212" s="32">
        <v>5000</v>
      </c>
      <c r="M212" s="32">
        <f t="shared" si="16"/>
        <v>342138.605616438</v>
      </c>
      <c r="N212" s="33" t="s">
        <v>193</v>
      </c>
      <c r="O212" s="33" t="s">
        <v>28</v>
      </c>
    </row>
    <row r="213" ht="15.75" customHeight="1" spans="1:15">
      <c r="A213" s="27" t="s">
        <v>148</v>
      </c>
      <c r="B213" s="27" t="s">
        <v>34</v>
      </c>
      <c r="C213" s="27" t="s">
        <v>419</v>
      </c>
      <c r="D213" s="28">
        <v>45536</v>
      </c>
      <c r="E213" s="29" t="str">
        <f t="shared" si="18"/>
        <v>September</v>
      </c>
      <c r="F213" s="18">
        <f t="shared" si="19"/>
        <v>2024</v>
      </c>
      <c r="G213" s="29">
        <v>45774</v>
      </c>
      <c r="H213" s="30">
        <f t="shared" si="17"/>
        <v>239</v>
      </c>
      <c r="I213" s="32">
        <v>1020717</v>
      </c>
      <c r="J213" s="32">
        <f t="shared" si="14"/>
        <v>668359.898630137</v>
      </c>
      <c r="K213" s="32">
        <f t="shared" si="15"/>
        <v>33417.9949315069</v>
      </c>
      <c r="L213" s="32">
        <v>15000</v>
      </c>
      <c r="M213" s="32">
        <f t="shared" si="16"/>
        <v>716777.893561644</v>
      </c>
      <c r="N213" s="33" t="s">
        <v>193</v>
      </c>
      <c r="O213" s="33" t="s">
        <v>28</v>
      </c>
    </row>
    <row r="214" ht="15.75" customHeight="1" spans="1:15">
      <c r="A214" s="27" t="s">
        <v>148</v>
      </c>
      <c r="B214" s="27" t="s">
        <v>34</v>
      </c>
      <c r="C214" s="27" t="s">
        <v>420</v>
      </c>
      <c r="D214" s="28">
        <v>45536</v>
      </c>
      <c r="E214" s="29" t="str">
        <f t="shared" si="18"/>
        <v>September</v>
      </c>
      <c r="F214" s="18">
        <f t="shared" si="19"/>
        <v>2024</v>
      </c>
      <c r="G214" s="29">
        <v>45774</v>
      </c>
      <c r="H214" s="30">
        <f t="shared" si="17"/>
        <v>239</v>
      </c>
      <c r="I214" s="32">
        <v>1020717</v>
      </c>
      <c r="J214" s="32">
        <f t="shared" si="14"/>
        <v>668359.898630137</v>
      </c>
      <c r="K214" s="32">
        <f t="shared" si="15"/>
        <v>33417.9949315069</v>
      </c>
      <c r="L214" s="32">
        <v>15000</v>
      </c>
      <c r="M214" s="32">
        <f t="shared" si="16"/>
        <v>716777.893561644</v>
      </c>
      <c r="N214" s="33" t="s">
        <v>193</v>
      </c>
      <c r="O214" s="33" t="s">
        <v>28</v>
      </c>
    </row>
    <row r="215" ht="15.75" customHeight="1" spans="1:15">
      <c r="A215" s="27" t="s">
        <v>148</v>
      </c>
      <c r="B215" s="27" t="s">
        <v>34</v>
      </c>
      <c r="C215" s="27" t="s">
        <v>421</v>
      </c>
      <c r="D215" s="28">
        <v>45536</v>
      </c>
      <c r="E215" s="29" t="str">
        <f t="shared" si="18"/>
        <v>September</v>
      </c>
      <c r="F215" s="18">
        <f t="shared" si="19"/>
        <v>2024</v>
      </c>
      <c r="G215" s="29">
        <v>45774</v>
      </c>
      <c r="H215" s="30">
        <f t="shared" si="17"/>
        <v>239</v>
      </c>
      <c r="I215" s="32">
        <v>1020717</v>
      </c>
      <c r="J215" s="32">
        <f t="shared" si="14"/>
        <v>668359.898630137</v>
      </c>
      <c r="K215" s="32">
        <f t="shared" si="15"/>
        <v>33417.9949315069</v>
      </c>
      <c r="L215" s="32">
        <v>15000</v>
      </c>
      <c r="M215" s="32">
        <f t="shared" si="16"/>
        <v>716777.893561644</v>
      </c>
      <c r="N215" s="33" t="s">
        <v>193</v>
      </c>
      <c r="O215" s="33" t="s">
        <v>28</v>
      </c>
    </row>
    <row r="216" ht="15.75" customHeight="1" spans="1:15">
      <c r="A216" s="27" t="s">
        <v>148</v>
      </c>
      <c r="B216" s="27" t="s">
        <v>34</v>
      </c>
      <c r="C216" s="27" t="s">
        <v>422</v>
      </c>
      <c r="D216" s="28">
        <v>45536</v>
      </c>
      <c r="E216" s="29" t="str">
        <f t="shared" si="18"/>
        <v>September</v>
      </c>
      <c r="F216" s="18">
        <f t="shared" si="19"/>
        <v>2024</v>
      </c>
      <c r="G216" s="29">
        <v>45774</v>
      </c>
      <c r="H216" s="30">
        <f t="shared" si="17"/>
        <v>239</v>
      </c>
      <c r="I216" s="32">
        <v>393139</v>
      </c>
      <c r="J216" s="32">
        <f t="shared" si="14"/>
        <v>257425.263013699</v>
      </c>
      <c r="K216" s="32">
        <f t="shared" si="15"/>
        <v>12871.2631506849</v>
      </c>
      <c r="L216" s="32">
        <v>5000</v>
      </c>
      <c r="M216" s="32">
        <f t="shared" si="16"/>
        <v>275296.526164384</v>
      </c>
      <c r="N216" s="33" t="s">
        <v>193</v>
      </c>
      <c r="O216" s="33" t="s">
        <v>28</v>
      </c>
    </row>
    <row r="217" ht="15.75" customHeight="1" spans="1:15">
      <c r="A217" s="27" t="s">
        <v>148</v>
      </c>
      <c r="B217" s="27" t="s">
        <v>34</v>
      </c>
      <c r="C217" s="27" t="s">
        <v>423</v>
      </c>
      <c r="D217" s="28">
        <v>45536</v>
      </c>
      <c r="E217" s="29" t="str">
        <f t="shared" si="18"/>
        <v>September</v>
      </c>
      <c r="F217" s="18">
        <f t="shared" si="19"/>
        <v>2024</v>
      </c>
      <c r="G217" s="29">
        <v>45774</v>
      </c>
      <c r="H217" s="30">
        <f t="shared" si="17"/>
        <v>239</v>
      </c>
      <c r="I217" s="32">
        <v>137219</v>
      </c>
      <c r="J217" s="32">
        <f t="shared" si="14"/>
        <v>89850.2493150685</v>
      </c>
      <c r="K217" s="32">
        <f t="shared" si="15"/>
        <v>4492.51246575342</v>
      </c>
      <c r="L217" s="32">
        <v>5000</v>
      </c>
      <c r="M217" s="32">
        <f t="shared" si="16"/>
        <v>99342.7617808219</v>
      </c>
      <c r="N217" s="33" t="s">
        <v>193</v>
      </c>
      <c r="O217" s="33" t="s">
        <v>28</v>
      </c>
    </row>
    <row r="218" ht="15.75" customHeight="1" spans="1:15">
      <c r="A218" s="27" t="s">
        <v>375</v>
      </c>
      <c r="B218" s="27" t="s">
        <v>34</v>
      </c>
      <c r="C218" s="27" t="s">
        <v>424</v>
      </c>
      <c r="D218" s="28">
        <v>45534</v>
      </c>
      <c r="E218" s="29" t="str">
        <f t="shared" si="18"/>
        <v>August</v>
      </c>
      <c r="F218" s="18">
        <f t="shared" si="19"/>
        <v>2024</v>
      </c>
      <c r="G218" s="29">
        <v>45848</v>
      </c>
      <c r="H218" s="30">
        <f t="shared" si="17"/>
        <v>315</v>
      </c>
      <c r="I218" s="32">
        <v>180609</v>
      </c>
      <c r="J218" s="32">
        <f t="shared" si="14"/>
        <v>155868.04109589</v>
      </c>
      <c r="K218" s="32">
        <f t="shared" si="15"/>
        <v>7793.40205479452</v>
      </c>
      <c r="L218" s="32">
        <v>5000</v>
      </c>
      <c r="M218" s="32">
        <f t="shared" si="16"/>
        <v>168661.443150685</v>
      </c>
      <c r="N218" s="33" t="s">
        <v>193</v>
      </c>
      <c r="O218" s="33" t="s">
        <v>28</v>
      </c>
    </row>
    <row r="219" ht="15.75" customHeight="1" spans="1:15">
      <c r="A219" s="27" t="s">
        <v>375</v>
      </c>
      <c r="B219" s="27" t="s">
        <v>34</v>
      </c>
      <c r="C219" s="27" t="s">
        <v>425</v>
      </c>
      <c r="D219" s="28">
        <v>45534</v>
      </c>
      <c r="E219" s="29" t="str">
        <f t="shared" si="18"/>
        <v>August</v>
      </c>
      <c r="F219" s="18">
        <f t="shared" si="19"/>
        <v>2024</v>
      </c>
      <c r="G219" s="29">
        <v>45848</v>
      </c>
      <c r="H219" s="30">
        <f t="shared" si="17"/>
        <v>315</v>
      </c>
      <c r="I219" s="32">
        <v>180609</v>
      </c>
      <c r="J219" s="32">
        <f t="shared" si="14"/>
        <v>155868.04109589</v>
      </c>
      <c r="K219" s="32">
        <f t="shared" si="15"/>
        <v>7793.40205479452</v>
      </c>
      <c r="L219" s="32">
        <v>5000</v>
      </c>
      <c r="M219" s="32">
        <f t="shared" si="16"/>
        <v>168661.443150685</v>
      </c>
      <c r="N219" s="33" t="s">
        <v>193</v>
      </c>
      <c r="O219" s="33" t="s">
        <v>28</v>
      </c>
    </row>
    <row r="220" ht="15.75" customHeight="1" spans="1:15">
      <c r="A220" s="27" t="s">
        <v>136</v>
      </c>
      <c r="B220" s="27" t="s">
        <v>38</v>
      </c>
      <c r="C220" s="27" t="s">
        <v>426</v>
      </c>
      <c r="D220" s="28">
        <v>45538</v>
      </c>
      <c r="E220" s="29" t="str">
        <f t="shared" si="18"/>
        <v>September</v>
      </c>
      <c r="F220" s="18">
        <f t="shared" si="19"/>
        <v>2024</v>
      </c>
      <c r="G220" s="29">
        <v>45859</v>
      </c>
      <c r="H220" s="30">
        <f t="shared" si="17"/>
        <v>322</v>
      </c>
      <c r="I220" s="32">
        <v>2308541</v>
      </c>
      <c r="J220" s="32">
        <f t="shared" si="14"/>
        <v>2036575.89589041</v>
      </c>
      <c r="K220" s="32">
        <f t="shared" si="15"/>
        <v>101828.794794521</v>
      </c>
      <c r="L220" s="32">
        <v>20000</v>
      </c>
      <c r="M220" s="32">
        <f t="shared" si="16"/>
        <v>2158404.69068493</v>
      </c>
      <c r="N220" s="33" t="s">
        <v>193</v>
      </c>
      <c r="O220" s="33" t="s">
        <v>28</v>
      </c>
    </row>
    <row r="221" ht="15.75" customHeight="1" spans="1:15">
      <c r="A221" s="27" t="s">
        <v>427</v>
      </c>
      <c r="B221" s="27" t="s">
        <v>29</v>
      </c>
      <c r="C221" s="27" t="s">
        <v>428</v>
      </c>
      <c r="D221" s="28">
        <v>45539</v>
      </c>
      <c r="E221" s="29" t="str">
        <f t="shared" si="18"/>
        <v>September</v>
      </c>
      <c r="F221" s="18">
        <f t="shared" si="19"/>
        <v>2024</v>
      </c>
      <c r="G221" s="29">
        <v>45876</v>
      </c>
      <c r="H221" s="30">
        <f t="shared" si="17"/>
        <v>338</v>
      </c>
      <c r="I221" s="32">
        <v>875443</v>
      </c>
      <c r="J221" s="32">
        <f t="shared" si="14"/>
        <v>810684.202739726</v>
      </c>
      <c r="K221" s="32">
        <f t="shared" si="15"/>
        <v>40534.2101369863</v>
      </c>
      <c r="L221" s="32">
        <v>30000</v>
      </c>
      <c r="M221" s="32">
        <f t="shared" si="16"/>
        <v>881218.412876712</v>
      </c>
      <c r="N221" s="33" t="s">
        <v>193</v>
      </c>
      <c r="O221" s="33" t="s">
        <v>28</v>
      </c>
    </row>
    <row r="222" ht="15.75" customHeight="1" spans="1:15">
      <c r="A222" s="27" t="s">
        <v>427</v>
      </c>
      <c r="B222" s="27" t="s">
        <v>29</v>
      </c>
      <c r="C222" s="27" t="s">
        <v>429</v>
      </c>
      <c r="D222" s="28">
        <v>45539</v>
      </c>
      <c r="E222" s="29" t="str">
        <f t="shared" si="18"/>
        <v>September</v>
      </c>
      <c r="F222" s="18">
        <f t="shared" si="19"/>
        <v>2024</v>
      </c>
      <c r="G222" s="29">
        <v>45876</v>
      </c>
      <c r="H222" s="30">
        <f t="shared" si="17"/>
        <v>338</v>
      </c>
      <c r="I222" s="32">
        <v>875443</v>
      </c>
      <c r="J222" s="32">
        <f t="shared" si="14"/>
        <v>810684.202739726</v>
      </c>
      <c r="K222" s="32">
        <f t="shared" si="15"/>
        <v>40534.2101369863</v>
      </c>
      <c r="L222" s="32">
        <v>70000</v>
      </c>
      <c r="M222" s="32">
        <f t="shared" si="16"/>
        <v>921218.412876712</v>
      </c>
      <c r="N222" s="33" t="s">
        <v>193</v>
      </c>
      <c r="O222" s="33" t="s">
        <v>28</v>
      </c>
    </row>
    <row r="223" ht="15.75" customHeight="1" spans="1:15">
      <c r="A223" s="27" t="s">
        <v>427</v>
      </c>
      <c r="B223" s="27" t="s">
        <v>29</v>
      </c>
      <c r="C223" s="27" t="s">
        <v>430</v>
      </c>
      <c r="D223" s="28">
        <v>45539</v>
      </c>
      <c r="E223" s="29" t="str">
        <f t="shared" si="18"/>
        <v>September</v>
      </c>
      <c r="F223" s="18">
        <f t="shared" si="19"/>
        <v>2024</v>
      </c>
      <c r="G223" s="29">
        <v>45876</v>
      </c>
      <c r="H223" s="30">
        <f t="shared" si="17"/>
        <v>338</v>
      </c>
      <c r="I223" s="32">
        <v>875443</v>
      </c>
      <c r="J223" s="32">
        <f t="shared" si="14"/>
        <v>810684.202739726</v>
      </c>
      <c r="K223" s="32">
        <f t="shared" si="15"/>
        <v>40534.2101369863</v>
      </c>
      <c r="L223" s="32">
        <v>50000</v>
      </c>
      <c r="M223" s="32">
        <f t="shared" si="16"/>
        <v>901218.412876712</v>
      </c>
      <c r="N223" s="33" t="s">
        <v>193</v>
      </c>
      <c r="O223" s="33" t="s">
        <v>28</v>
      </c>
    </row>
    <row r="224" ht="15.75" customHeight="1" spans="1:15">
      <c r="A224" s="27" t="s">
        <v>427</v>
      </c>
      <c r="B224" s="27" t="s">
        <v>29</v>
      </c>
      <c r="C224" s="27" t="s">
        <v>431</v>
      </c>
      <c r="D224" s="28">
        <v>45538</v>
      </c>
      <c r="E224" s="29" t="str">
        <f t="shared" si="18"/>
        <v>September</v>
      </c>
      <c r="F224" s="18">
        <f t="shared" si="19"/>
        <v>2024</v>
      </c>
      <c r="G224" s="29">
        <v>45876</v>
      </c>
      <c r="H224" s="30">
        <f t="shared" si="17"/>
        <v>339</v>
      </c>
      <c r="I224" s="32">
        <v>875443</v>
      </c>
      <c r="J224" s="32">
        <f t="shared" si="14"/>
        <v>813082.676712329</v>
      </c>
      <c r="K224" s="32">
        <f t="shared" si="15"/>
        <v>40654.1338356164</v>
      </c>
      <c r="L224" s="32">
        <v>10000</v>
      </c>
      <c r="M224" s="32">
        <f t="shared" si="16"/>
        <v>863736.810547945</v>
      </c>
      <c r="N224" s="33" t="s">
        <v>193</v>
      </c>
      <c r="O224" s="33" t="s">
        <v>28</v>
      </c>
    </row>
    <row r="225" ht="15.75" customHeight="1" spans="1:15">
      <c r="A225" s="27"/>
      <c r="B225" s="27"/>
      <c r="C225" s="27"/>
      <c r="D225" s="28"/>
      <c r="E225" s="29"/>
      <c r="G225" s="29"/>
      <c r="H225" s="30"/>
      <c r="I225" s="32"/>
      <c r="J225" s="32"/>
      <c r="K225" s="32"/>
      <c r="L225" s="32"/>
      <c r="M225" s="32"/>
      <c r="N225" s="50"/>
      <c r="O225" s="34"/>
    </row>
    <row r="226" ht="15.75" customHeight="1" spans="1:15">
      <c r="A226" s="27"/>
      <c r="B226" s="27"/>
      <c r="C226" s="27"/>
      <c r="D226" s="28"/>
      <c r="E226" s="29"/>
      <c r="G226" s="29"/>
      <c r="H226" s="30"/>
      <c r="I226" s="32"/>
      <c r="J226" s="32"/>
      <c r="K226" s="32"/>
      <c r="L226" s="32"/>
      <c r="M226" s="32"/>
      <c r="N226" s="50"/>
      <c r="O226" s="34"/>
    </row>
    <row r="227" ht="15.75" customHeight="1" spans="1:15">
      <c r="A227" s="27"/>
      <c r="B227" s="27"/>
      <c r="C227" s="27"/>
      <c r="D227" s="28"/>
      <c r="E227" s="29"/>
      <c r="G227" s="29"/>
      <c r="H227" s="30"/>
      <c r="I227" s="32"/>
      <c r="J227" s="32"/>
      <c r="K227" s="32"/>
      <c r="L227" s="32"/>
      <c r="M227" s="32"/>
      <c r="N227" s="50"/>
      <c r="O227" s="34"/>
    </row>
    <row r="228" ht="15.75" customHeight="1" spans="1:15">
      <c r="A228" s="27"/>
      <c r="B228" s="27"/>
      <c r="C228" s="27"/>
      <c r="D228" s="28"/>
      <c r="E228" s="29"/>
      <c r="G228" s="29"/>
      <c r="H228" s="30"/>
      <c r="I228" s="32"/>
      <c r="J228" s="32"/>
      <c r="K228" s="32"/>
      <c r="L228" s="32"/>
      <c r="M228" s="32"/>
      <c r="N228" s="50"/>
      <c r="O228" s="34"/>
    </row>
    <row r="229" ht="15.75" customHeight="1" spans="1:15">
      <c r="A229" s="27"/>
      <c r="B229" s="27"/>
      <c r="C229" s="27"/>
      <c r="D229" s="28"/>
      <c r="E229" s="29"/>
      <c r="G229" s="29"/>
      <c r="H229" s="30"/>
      <c r="I229" s="32"/>
      <c r="J229" s="32"/>
      <c r="K229" s="32"/>
      <c r="L229" s="32"/>
      <c r="M229" s="32"/>
      <c r="N229" s="50"/>
      <c r="O229" s="34"/>
    </row>
    <row r="230" ht="15.75" customHeight="1" spans="1:15">
      <c r="A230" s="27"/>
      <c r="B230" s="27"/>
      <c r="C230" s="27"/>
      <c r="D230" s="28"/>
      <c r="E230" s="29"/>
      <c r="G230" s="29"/>
      <c r="H230" s="30"/>
      <c r="I230" s="32"/>
      <c r="J230" s="32"/>
      <c r="K230" s="32"/>
      <c r="L230" s="32"/>
      <c r="M230" s="32"/>
      <c r="N230" s="50"/>
      <c r="O230" s="34"/>
    </row>
    <row r="231" ht="15.75" customHeight="1" spans="1:15">
      <c r="A231" s="27"/>
      <c r="B231" s="27"/>
      <c r="C231" s="27"/>
      <c r="D231" s="28"/>
      <c r="E231" s="29"/>
      <c r="G231" s="29"/>
      <c r="H231" s="30"/>
      <c r="I231" s="32"/>
      <c r="J231" s="32"/>
      <c r="K231" s="32"/>
      <c r="L231" s="32"/>
      <c r="M231" s="32"/>
      <c r="N231" s="50"/>
      <c r="O231" s="34"/>
    </row>
    <row r="232" ht="15.75" customHeight="1" spans="1:15">
      <c r="A232" s="27"/>
      <c r="B232" s="27"/>
      <c r="C232" s="27"/>
      <c r="D232" s="28"/>
      <c r="E232" s="29"/>
      <c r="G232" s="29"/>
      <c r="H232" s="30"/>
      <c r="I232" s="32"/>
      <c r="J232" s="32"/>
      <c r="K232" s="32"/>
      <c r="L232" s="32"/>
      <c r="M232" s="32"/>
      <c r="N232" s="50"/>
      <c r="O232" s="34"/>
    </row>
    <row r="233" ht="15.75" customHeight="1" spans="10:10">
      <c r="J233" s="34"/>
    </row>
    <row r="234" ht="15.75" customHeight="1" spans="10:10">
      <c r="J234" s="34"/>
    </row>
    <row r="235" ht="15.75" customHeight="1" spans="10:10">
      <c r="J235" s="34"/>
    </row>
    <row r="236" ht="15.75" customHeight="1" spans="10:10">
      <c r="J236" s="34"/>
    </row>
    <row r="237" ht="15.75" customHeight="1" spans="10:10">
      <c r="J237" s="34"/>
    </row>
    <row r="238" ht="15.75" customHeight="1" spans="10:10">
      <c r="J238" s="34"/>
    </row>
    <row r="239" ht="15.75" customHeight="1" spans="10:10">
      <c r="J239" s="34"/>
    </row>
    <row r="240" ht="15.75" customHeight="1" spans="10:10">
      <c r="J240" s="34"/>
    </row>
    <row r="241" ht="15.75" customHeight="1" spans="10:10">
      <c r="J241" s="34"/>
    </row>
    <row r="242" ht="15.75" customHeight="1" spans="10:10">
      <c r="J242" s="34"/>
    </row>
    <row r="243" ht="15.75" customHeight="1" spans="10:10">
      <c r="J243" s="34"/>
    </row>
    <row r="244" ht="15.75" customHeight="1" spans="10:10">
      <c r="J244" s="34"/>
    </row>
    <row r="245" ht="15.75" customHeight="1" spans="10:10">
      <c r="J245" s="34"/>
    </row>
    <row r="246" ht="15.75" customHeight="1" spans="10:10">
      <c r="J246" s="34"/>
    </row>
    <row r="247" ht="15.75" customHeight="1" spans="10:10">
      <c r="J247" s="34"/>
    </row>
    <row r="248" ht="15.75" customHeight="1" spans="10:10">
      <c r="J248" s="34"/>
    </row>
    <row r="249" ht="15.75" customHeight="1" spans="10:10">
      <c r="J249" s="34"/>
    </row>
    <row r="250" ht="15.75" customHeight="1" spans="10:10">
      <c r="J250" s="34"/>
    </row>
    <row r="251" ht="15.75" customHeight="1" spans="10:10">
      <c r="J251" s="34"/>
    </row>
    <row r="252" ht="15.75" customHeight="1" spans="10:10">
      <c r="J252" s="34"/>
    </row>
    <row r="253" ht="15.75" customHeight="1" spans="10:10">
      <c r="J253" s="34"/>
    </row>
    <row r="254" ht="15.75" customHeight="1" spans="10:10">
      <c r="J254" s="34"/>
    </row>
    <row r="255" ht="15.75" customHeight="1" spans="10:10">
      <c r="J255" s="34"/>
    </row>
    <row r="256" ht="15.75" customHeight="1" spans="10:10">
      <c r="J256" s="34"/>
    </row>
    <row r="257" ht="15.75" customHeight="1" spans="10:10">
      <c r="J257" s="34"/>
    </row>
    <row r="258" ht="15.75" customHeight="1" spans="10:10">
      <c r="J258" s="34"/>
    </row>
    <row r="259" ht="15.75" customHeight="1" spans="10:10">
      <c r="J259" s="34"/>
    </row>
    <row r="260" ht="15.75" customHeight="1" spans="10:10">
      <c r="J260" s="34"/>
    </row>
    <row r="261" ht="15.75" customHeight="1" spans="10:10">
      <c r="J261" s="34"/>
    </row>
    <row r="262" ht="15.75" customHeight="1" spans="10:10">
      <c r="J262" s="34"/>
    </row>
    <row r="263" ht="15.75" customHeight="1" spans="10:10">
      <c r="J263" s="34"/>
    </row>
    <row r="264" ht="15.75" customHeight="1" spans="10:10">
      <c r="J264" s="34"/>
    </row>
    <row r="265" ht="15.75" customHeight="1" spans="10:10">
      <c r="J265" s="34"/>
    </row>
    <row r="266" ht="15.75" customHeight="1" spans="10:10">
      <c r="J266" s="34"/>
    </row>
    <row r="267" ht="15.75" customHeight="1" spans="10:10">
      <c r="J267" s="34"/>
    </row>
    <row r="268" ht="15.75" customHeight="1" spans="10:10">
      <c r="J268" s="34"/>
    </row>
    <row r="269" ht="15.75" customHeight="1" spans="10:10">
      <c r="J269" s="34"/>
    </row>
    <row r="270" ht="15.75" customHeight="1" spans="10:10">
      <c r="J270" s="34"/>
    </row>
    <row r="271" ht="15.75" customHeight="1" spans="10:10">
      <c r="J271" s="34"/>
    </row>
    <row r="272" ht="15.75" customHeight="1" spans="10:10">
      <c r="J272" s="34"/>
    </row>
    <row r="273" ht="15.75" customHeight="1" spans="10:10">
      <c r="J273" s="34"/>
    </row>
    <row r="274" ht="15.75" customHeight="1" spans="10:10">
      <c r="J274" s="34"/>
    </row>
    <row r="275" ht="15.75" customHeight="1" spans="10:10">
      <c r="J275" s="34"/>
    </row>
    <row r="276" ht="15.75" customHeight="1" spans="10:10">
      <c r="J276" s="34"/>
    </row>
    <row r="277" ht="15.75" customHeight="1" spans="10:10">
      <c r="J277" s="34"/>
    </row>
    <row r="278" ht="15.75" customHeight="1" spans="10:10">
      <c r="J278" s="34"/>
    </row>
    <row r="279" ht="15.75" customHeight="1" spans="10:10">
      <c r="J279" s="34"/>
    </row>
    <row r="280" ht="15.75" customHeight="1" spans="10:10">
      <c r="J280" s="34"/>
    </row>
    <row r="281" ht="15.75" customHeight="1" spans="10:10">
      <c r="J281" s="34"/>
    </row>
    <row r="282" ht="15.75" customHeight="1" spans="10:10">
      <c r="J282" s="34"/>
    </row>
    <row r="283" ht="15.75" customHeight="1" spans="10:10">
      <c r="J283" s="34"/>
    </row>
    <row r="284" ht="15.75" customHeight="1" spans="10:10">
      <c r="J284" s="34"/>
    </row>
    <row r="285" ht="15.75" customHeight="1" spans="10:10">
      <c r="J285" s="34"/>
    </row>
    <row r="286" ht="15.75" customHeight="1" spans="10:10">
      <c r="J286" s="34"/>
    </row>
    <row r="287" ht="15.75" customHeight="1" spans="10:10">
      <c r="J287" s="34"/>
    </row>
    <row r="288" ht="15.75" customHeight="1" spans="10:10">
      <c r="J288" s="34"/>
    </row>
    <row r="289" ht="15.75" customHeight="1" spans="10:10">
      <c r="J289" s="34"/>
    </row>
    <row r="290" ht="15.75" customHeight="1" spans="10:10">
      <c r="J290" s="34"/>
    </row>
    <row r="291" ht="15.75" customHeight="1" spans="10:10">
      <c r="J291" s="34"/>
    </row>
    <row r="292" ht="15.75" customHeight="1" spans="10:10">
      <c r="J292" s="34"/>
    </row>
    <row r="293" ht="15.75" customHeight="1" spans="10:10">
      <c r="J293" s="34"/>
    </row>
    <row r="294" ht="15.75" customHeight="1" spans="10:10">
      <c r="J294" s="34"/>
    </row>
    <row r="295" ht="15.75" customHeight="1" spans="10:10">
      <c r="J295" s="34"/>
    </row>
    <row r="296" ht="15.75" customHeight="1" spans="10:10">
      <c r="J296" s="34"/>
    </row>
    <row r="297" ht="15.75" customHeight="1" spans="10:10">
      <c r="J297" s="34"/>
    </row>
    <row r="298" ht="15.75" customHeight="1" spans="10:10">
      <c r="J298" s="34"/>
    </row>
    <row r="299" ht="15.75" customHeight="1" spans="10:10">
      <c r="J299" s="34"/>
    </row>
    <row r="300" ht="15.75" customHeight="1" spans="10:10">
      <c r="J300" s="34"/>
    </row>
    <row r="301" ht="15.75" customHeight="1" spans="10:10">
      <c r="J301" s="34"/>
    </row>
    <row r="302" ht="15.75" customHeight="1" spans="10:10">
      <c r="J302" s="34"/>
    </row>
    <row r="303" ht="15.75" customHeight="1" spans="10:10">
      <c r="J303" s="34"/>
    </row>
    <row r="304" ht="15.75" customHeight="1" spans="10:10">
      <c r="J304" s="34"/>
    </row>
    <row r="305" ht="15.75" customHeight="1" spans="10:10">
      <c r="J305" s="34"/>
    </row>
    <row r="306" ht="15.75" customHeight="1" spans="10:10">
      <c r="J306" s="34"/>
    </row>
    <row r="307" ht="15.75" customHeight="1" spans="10:10">
      <c r="J307" s="34"/>
    </row>
    <row r="308" ht="15.75" customHeight="1" spans="10:10">
      <c r="J308" s="34"/>
    </row>
    <row r="309" ht="15.75" customHeight="1" spans="10:10">
      <c r="J309" s="34"/>
    </row>
    <row r="310" ht="15.75" customHeight="1" spans="10:10">
      <c r="J310" s="34"/>
    </row>
    <row r="311" ht="15.75" customHeight="1" spans="10:10">
      <c r="J311" s="34"/>
    </row>
    <row r="312" ht="15.75" customHeight="1" spans="10:10">
      <c r="J312" s="34"/>
    </row>
    <row r="313" ht="15.75" customHeight="1" spans="10:10">
      <c r="J313" s="34"/>
    </row>
    <row r="314" ht="15.75" customHeight="1" spans="10:10">
      <c r="J314" s="34"/>
    </row>
    <row r="315" ht="15.75" customHeight="1" spans="10:10">
      <c r="J315" s="34"/>
    </row>
    <row r="316" ht="15.75" customHeight="1" spans="10:10">
      <c r="J316" s="34"/>
    </row>
    <row r="317" ht="15.75" customHeight="1" spans="10:10">
      <c r="J317" s="34"/>
    </row>
    <row r="318" ht="15.75" customHeight="1" spans="10:10">
      <c r="J318" s="34"/>
    </row>
    <row r="319" ht="15.75" customHeight="1" spans="10:10">
      <c r="J319" s="34"/>
    </row>
    <row r="320" ht="15.75" customHeight="1" spans="10:10">
      <c r="J320" s="34"/>
    </row>
    <row r="321" ht="15.75" customHeight="1" spans="10:10">
      <c r="J321" s="34"/>
    </row>
    <row r="322" ht="15.75" customHeight="1" spans="10:10">
      <c r="J322" s="34"/>
    </row>
    <row r="323" ht="15.75" customHeight="1" spans="10:10">
      <c r="J323" s="34"/>
    </row>
    <row r="324" ht="15.75" customHeight="1" spans="10:10">
      <c r="J324" s="34"/>
    </row>
    <row r="325" ht="15.75" customHeight="1" spans="10:10">
      <c r="J325" s="34"/>
    </row>
    <row r="326" ht="15.75" customHeight="1" spans="10:10">
      <c r="J326" s="34"/>
    </row>
    <row r="327" ht="15.75" customHeight="1" spans="10:10">
      <c r="J327" s="34"/>
    </row>
    <row r="328" ht="15.75" customHeight="1" spans="10:10">
      <c r="J328" s="34"/>
    </row>
    <row r="329" ht="15.75" customHeight="1" spans="10:10">
      <c r="J329" s="34"/>
    </row>
    <row r="330" ht="15.75" customHeight="1" spans="10:10">
      <c r="J330" s="34"/>
    </row>
    <row r="331" ht="15.75" customHeight="1" spans="10:10">
      <c r="J331" s="34"/>
    </row>
    <row r="332" ht="15.75" customHeight="1" spans="10:10">
      <c r="J332" s="34"/>
    </row>
    <row r="333" ht="15.75" customHeight="1" spans="10:10">
      <c r="J333" s="34"/>
    </row>
    <row r="334" ht="15.75" customHeight="1" spans="10:10">
      <c r="J334" s="34"/>
    </row>
    <row r="335" ht="15.75" customHeight="1" spans="10:10">
      <c r="J335" s="34"/>
    </row>
    <row r="336" ht="15.75" customHeight="1" spans="10:10">
      <c r="J336" s="34"/>
    </row>
    <row r="337" ht="15.75" customHeight="1" spans="10:10">
      <c r="J337" s="34"/>
    </row>
    <row r="338" ht="15.75" customHeight="1" spans="10:10">
      <c r="J338" s="34"/>
    </row>
    <row r="339" ht="15.75" customHeight="1" spans="10:10">
      <c r="J339" s="34"/>
    </row>
    <row r="340" ht="15.75" customHeight="1" spans="10:10">
      <c r="J340" s="34"/>
    </row>
    <row r="341" ht="15.75" customHeight="1" spans="10:10">
      <c r="J341" s="34"/>
    </row>
    <row r="342" ht="15.75" customHeight="1" spans="10:10">
      <c r="J342" s="34"/>
    </row>
    <row r="343" ht="15.75" customHeight="1" spans="10:10">
      <c r="J343" s="34"/>
    </row>
    <row r="344" ht="15.75" customHeight="1" spans="10:10">
      <c r="J344" s="34"/>
    </row>
    <row r="345" ht="15.75" customHeight="1" spans="10:10">
      <c r="J345" s="34"/>
    </row>
    <row r="346" ht="15.75" customHeight="1" spans="10:10">
      <c r="J346" s="34"/>
    </row>
    <row r="347" ht="15.75" customHeight="1" spans="10:10">
      <c r="J347" s="34"/>
    </row>
    <row r="348" ht="15.75" customHeight="1" spans="10:10">
      <c r="J348" s="34"/>
    </row>
    <row r="349" ht="15.75" customHeight="1" spans="10:10">
      <c r="J349" s="34"/>
    </row>
    <row r="350" ht="15.75" customHeight="1" spans="10:10">
      <c r="J350" s="34"/>
    </row>
    <row r="351" ht="15.75" customHeight="1" spans="10:10">
      <c r="J351" s="34"/>
    </row>
    <row r="352" ht="15.75" customHeight="1" spans="10:10">
      <c r="J352" s="34"/>
    </row>
    <row r="353" ht="15.75" customHeight="1" spans="10:10">
      <c r="J353" s="34"/>
    </row>
    <row r="354" ht="15.75" customHeight="1" spans="10:10">
      <c r="J354" s="34"/>
    </row>
    <row r="355" ht="15.75" customHeight="1" spans="10:10">
      <c r="J355" s="34"/>
    </row>
    <row r="356" ht="15.75" customHeight="1" spans="10:10">
      <c r="J356" s="34"/>
    </row>
    <row r="357" ht="15.75" customHeight="1" spans="10:10">
      <c r="J357" s="34"/>
    </row>
    <row r="358" ht="15.75" customHeight="1" spans="10:10">
      <c r="J358" s="34"/>
    </row>
    <row r="359" ht="15.75" customHeight="1" spans="10:10">
      <c r="J359" s="34"/>
    </row>
    <row r="360" ht="15.75" customHeight="1" spans="10:10">
      <c r="J360" s="34"/>
    </row>
    <row r="361" ht="15.75" customHeight="1" spans="10:10">
      <c r="J361" s="34"/>
    </row>
    <row r="362" ht="15.75" customHeight="1" spans="10:10">
      <c r="J362" s="34"/>
    </row>
    <row r="363" ht="15.75" customHeight="1" spans="10:10">
      <c r="J363" s="34"/>
    </row>
    <row r="364" ht="15.75" customHeight="1" spans="10:10">
      <c r="J364" s="34"/>
    </row>
    <row r="365" ht="15.75" customHeight="1" spans="10:10">
      <c r="J365" s="34"/>
    </row>
    <row r="366" ht="15.75" customHeight="1" spans="10:10">
      <c r="J366" s="34"/>
    </row>
    <row r="367" ht="15.75" customHeight="1" spans="10:10">
      <c r="J367" s="34"/>
    </row>
    <row r="368" ht="15.75" customHeight="1" spans="10:10">
      <c r="J368" s="34"/>
    </row>
    <row r="369" ht="15.75" customHeight="1" spans="10:10">
      <c r="J369" s="34"/>
    </row>
    <row r="370" ht="15.75" customHeight="1" spans="10:10">
      <c r="J370" s="34"/>
    </row>
    <row r="371" ht="15.75" customHeight="1" spans="10:10">
      <c r="J371" s="34"/>
    </row>
    <row r="372" ht="15.75" customHeight="1" spans="10:10">
      <c r="J372" s="34"/>
    </row>
    <row r="373" ht="15.75" customHeight="1" spans="10:10">
      <c r="J373" s="34"/>
    </row>
    <row r="374" ht="15.75" customHeight="1" spans="10:10">
      <c r="J374" s="34"/>
    </row>
    <row r="375" ht="15.75" customHeight="1" spans="10:10">
      <c r="J375" s="34"/>
    </row>
    <row r="376" ht="15.75" customHeight="1" spans="10:10">
      <c r="J376" s="34"/>
    </row>
    <row r="377" ht="15.75" customHeight="1" spans="10:10">
      <c r="J377" s="34"/>
    </row>
    <row r="378" ht="15.75" customHeight="1" spans="10:10">
      <c r="J378" s="34"/>
    </row>
    <row r="379" ht="15.75" customHeight="1" spans="10:10">
      <c r="J379" s="34"/>
    </row>
    <row r="380" ht="15.75" customHeight="1" spans="10:10">
      <c r="J380" s="34"/>
    </row>
    <row r="381" ht="15.75" customHeight="1" spans="10:10">
      <c r="J381" s="34"/>
    </row>
    <row r="382" ht="15.75" customHeight="1" spans="10:10">
      <c r="J382" s="34"/>
    </row>
    <row r="383" ht="15.75" customHeight="1" spans="10:10">
      <c r="J383" s="34"/>
    </row>
    <row r="384" ht="15.75" customHeight="1" spans="10:10">
      <c r="J384" s="34"/>
    </row>
    <row r="385" ht="15.75" customHeight="1" spans="10:10">
      <c r="J385" s="34"/>
    </row>
    <row r="386" ht="15.75" customHeight="1" spans="10:10">
      <c r="J386" s="34"/>
    </row>
    <row r="387" ht="15.75" customHeight="1" spans="10:10">
      <c r="J387" s="34"/>
    </row>
    <row r="388" ht="15.75" customHeight="1" spans="10:10">
      <c r="J388" s="34"/>
    </row>
    <row r="389" ht="15.75" customHeight="1" spans="10:10">
      <c r="J389" s="34"/>
    </row>
    <row r="390" ht="15.75" customHeight="1" spans="10:10">
      <c r="J390" s="34"/>
    </row>
    <row r="391" ht="15.75" customHeight="1" spans="10:10">
      <c r="J391" s="34"/>
    </row>
    <row r="392" ht="15.75" customHeight="1" spans="10:10">
      <c r="J392" s="34"/>
    </row>
    <row r="393" ht="15.75" customHeight="1" spans="10:10">
      <c r="J393" s="34"/>
    </row>
    <row r="394" ht="15.75" customHeight="1" spans="10:10">
      <c r="J394" s="34"/>
    </row>
    <row r="395" ht="15.75" customHeight="1" spans="10:10">
      <c r="J395" s="34"/>
    </row>
    <row r="396" ht="15.75" customHeight="1" spans="10:10">
      <c r="J396" s="34"/>
    </row>
    <row r="397" ht="15.75" customHeight="1" spans="10:10">
      <c r="J397" s="34"/>
    </row>
    <row r="398" ht="15.75" customHeight="1" spans="10:10">
      <c r="J398" s="34"/>
    </row>
    <row r="399" ht="15.75" customHeight="1" spans="10:10">
      <c r="J399" s="34"/>
    </row>
    <row r="400" ht="15.75" customHeight="1" spans="10:10">
      <c r="J400" s="34"/>
    </row>
    <row r="401" ht="15.75" customHeight="1" spans="10:10">
      <c r="J401" s="34"/>
    </row>
    <row r="402" ht="15.75" customHeight="1" spans="10:10">
      <c r="J402" s="34"/>
    </row>
    <row r="403" ht="15.75" customHeight="1" spans="10:10">
      <c r="J403" s="34"/>
    </row>
    <row r="404" ht="15.75" customHeight="1" spans="10:10">
      <c r="J404" s="34"/>
    </row>
    <row r="405" ht="15.75" customHeight="1" spans="10:10">
      <c r="J405" s="34"/>
    </row>
    <row r="406" ht="15.75" customHeight="1" spans="10:10">
      <c r="J406" s="34"/>
    </row>
    <row r="407" ht="15.75" customHeight="1" spans="10:10">
      <c r="J407" s="34"/>
    </row>
    <row r="408" ht="15.75" customHeight="1" spans="10:10">
      <c r="J408" s="34"/>
    </row>
    <row r="409" ht="15.75" customHeight="1" spans="10:10">
      <c r="J409" s="34"/>
    </row>
    <row r="410" ht="15.75" customHeight="1" spans="10:10">
      <c r="J410" s="34"/>
    </row>
    <row r="411" ht="15.75" customHeight="1" spans="10:10">
      <c r="J411" s="34"/>
    </row>
    <row r="412" ht="15.75" customHeight="1" spans="10:10">
      <c r="J412" s="34"/>
    </row>
    <row r="413" ht="15.75" customHeight="1" spans="10:10">
      <c r="J413" s="34"/>
    </row>
    <row r="414" ht="15.75" customHeight="1" spans="10:10">
      <c r="J414" s="34"/>
    </row>
    <row r="415" ht="15.75" customHeight="1" spans="10:10">
      <c r="J415" s="34"/>
    </row>
    <row r="416" ht="15.75" customHeight="1" spans="10:10">
      <c r="J416" s="34"/>
    </row>
    <row r="417" ht="15.75" customHeight="1" spans="10:10">
      <c r="J417" s="34"/>
    </row>
    <row r="418" ht="15.75" customHeight="1" spans="10:10">
      <c r="J418" s="34"/>
    </row>
    <row r="419" ht="15.75" customHeight="1" spans="10:10">
      <c r="J419" s="34"/>
    </row>
    <row r="420" ht="15.75" customHeight="1" spans="10:10">
      <c r="J420" s="34"/>
    </row>
    <row r="421" ht="15.75" customHeight="1" spans="10:10">
      <c r="J421" s="34"/>
    </row>
    <row r="422" ht="15.75" customHeight="1" spans="10:10">
      <c r="J422" s="34"/>
    </row>
    <row r="423" ht="15.75" customHeight="1" spans="10:10">
      <c r="J423" s="34"/>
    </row>
    <row r="424" ht="15.75" customHeight="1" spans="10:10">
      <c r="J424" s="34"/>
    </row>
    <row r="425" ht="15.75" customHeight="1" spans="10:10">
      <c r="J425" s="34"/>
    </row>
    <row r="426" ht="15.75" customHeight="1" spans="10:10">
      <c r="J426" s="34"/>
    </row>
    <row r="427" ht="15.75" customHeight="1" spans="10:10">
      <c r="J427" s="34"/>
    </row>
    <row r="428" ht="15.75" customHeight="1" spans="10:10">
      <c r="J428" s="34"/>
    </row>
    <row r="429" ht="15.75" customHeight="1" spans="10:10">
      <c r="J429" s="34"/>
    </row>
    <row r="430" ht="15.75" customHeight="1" spans="10:10">
      <c r="J430" s="34"/>
    </row>
    <row r="431" ht="15.75" customHeight="1" spans="10:10">
      <c r="J431" s="34"/>
    </row>
    <row r="432" ht="15.75" customHeight="1" spans="10:10">
      <c r="J432" s="34"/>
    </row>
    <row r="433" ht="15.75" customHeight="1" spans="10:10">
      <c r="J433" s="34"/>
    </row>
    <row r="434" ht="15.75" customHeight="1" spans="10:10">
      <c r="J434" s="34"/>
    </row>
    <row r="435" ht="15.75" customHeight="1" spans="10:10">
      <c r="J435" s="34"/>
    </row>
    <row r="436" ht="15.75" customHeight="1" spans="10:10">
      <c r="J436" s="34"/>
    </row>
    <row r="437" ht="15.75" customHeight="1" spans="10:10">
      <c r="J437" s="34"/>
    </row>
    <row r="438" ht="15.75" customHeight="1" spans="10:10">
      <c r="J438" s="34"/>
    </row>
    <row r="439" ht="15.75" customHeight="1" spans="10:10">
      <c r="J439" s="34"/>
    </row>
    <row r="440" ht="15.75" customHeight="1" spans="10:10">
      <c r="J440" s="34"/>
    </row>
    <row r="441" ht="15.75" customHeight="1" spans="10:10">
      <c r="J441" s="34"/>
    </row>
    <row r="442" ht="15.75" customHeight="1" spans="10:10">
      <c r="J442" s="34"/>
    </row>
    <row r="443" ht="15.75" customHeight="1" spans="10:10">
      <c r="J443" s="34"/>
    </row>
    <row r="444" ht="15.75" customHeight="1" spans="10:10">
      <c r="J444" s="34"/>
    </row>
    <row r="445" ht="15.75" customHeight="1" spans="10:10">
      <c r="J445" s="34"/>
    </row>
    <row r="446" ht="15.75" customHeight="1" spans="10:10">
      <c r="J446" s="34"/>
    </row>
    <row r="447" ht="15.75" customHeight="1" spans="10:10">
      <c r="J447" s="34"/>
    </row>
    <row r="448" ht="15.75" customHeight="1" spans="10:10">
      <c r="J448" s="34"/>
    </row>
    <row r="449" ht="15.75" customHeight="1" spans="10:10">
      <c r="J449" s="34"/>
    </row>
    <row r="450" ht="15.75" customHeight="1" spans="10:10">
      <c r="J450" s="34"/>
    </row>
    <row r="451" ht="15.75" customHeight="1" spans="10:10">
      <c r="J451" s="34"/>
    </row>
    <row r="452" ht="15.75" customHeight="1" spans="10:10">
      <c r="J452" s="34"/>
    </row>
    <row r="453" ht="15.75" customHeight="1" spans="10:10">
      <c r="J453" s="34"/>
    </row>
    <row r="454" ht="15.75" customHeight="1" spans="10:10">
      <c r="J454" s="34"/>
    </row>
    <row r="455" ht="15.75" customHeight="1" spans="10:10">
      <c r="J455" s="34"/>
    </row>
    <row r="456" ht="15.75" customHeight="1" spans="10:10">
      <c r="J456" s="34"/>
    </row>
    <row r="457" ht="15.75" customHeight="1" spans="10:10">
      <c r="J457" s="34"/>
    </row>
    <row r="458" ht="15.75" customHeight="1" spans="10:10">
      <c r="J458" s="34"/>
    </row>
    <row r="459" ht="15.75" customHeight="1" spans="10:10">
      <c r="J459" s="34"/>
    </row>
    <row r="460" ht="15.75" customHeight="1" spans="10:10">
      <c r="J460" s="34"/>
    </row>
    <row r="461" ht="15.75" customHeight="1" spans="10:10">
      <c r="J461" s="34"/>
    </row>
    <row r="462" ht="15.75" customHeight="1" spans="10:10">
      <c r="J462" s="34"/>
    </row>
    <row r="463" ht="15.75" customHeight="1" spans="10:10">
      <c r="J463" s="34"/>
    </row>
    <row r="464" ht="15.75" customHeight="1" spans="10:10">
      <c r="J464" s="34"/>
    </row>
    <row r="465" ht="15.75" customHeight="1" spans="10:10">
      <c r="J465" s="34"/>
    </row>
    <row r="466" ht="15.75" customHeight="1" spans="10:10">
      <c r="J466" s="34"/>
    </row>
    <row r="467" ht="15.75" customHeight="1" spans="10:10">
      <c r="J467" s="34"/>
    </row>
    <row r="468" ht="15.75" customHeight="1" spans="10:10">
      <c r="J468" s="34"/>
    </row>
    <row r="469" ht="15.75" customHeight="1" spans="10:10">
      <c r="J469" s="34"/>
    </row>
    <row r="470" ht="15.75" customHeight="1" spans="10:10">
      <c r="J470" s="34"/>
    </row>
    <row r="471" ht="15.75" customHeight="1" spans="10:10">
      <c r="J471" s="34"/>
    </row>
    <row r="472" ht="15.75" customHeight="1" spans="10:10">
      <c r="J472" s="34"/>
    </row>
    <row r="473" ht="15.75" customHeight="1" spans="10:10">
      <c r="J473" s="34"/>
    </row>
    <row r="474" ht="15.75" customHeight="1" spans="10:10">
      <c r="J474" s="34"/>
    </row>
    <row r="475" ht="15.75" customHeight="1" spans="10:10">
      <c r="J475" s="34"/>
    </row>
    <row r="476" ht="15.75" customHeight="1" spans="10:10">
      <c r="J476" s="34"/>
    </row>
    <row r="477" ht="15.75" customHeight="1" spans="10:10">
      <c r="J477" s="34"/>
    </row>
    <row r="478" ht="15.75" customHeight="1" spans="10:10">
      <c r="J478" s="34"/>
    </row>
    <row r="479" ht="15.75" customHeight="1" spans="10:10">
      <c r="J479" s="34"/>
    </row>
    <row r="480" ht="15.75" customHeight="1" spans="10:10">
      <c r="J480" s="34"/>
    </row>
    <row r="481" ht="15.75" customHeight="1" spans="10:10">
      <c r="J481" s="34"/>
    </row>
    <row r="482" ht="15.75" customHeight="1" spans="10:10">
      <c r="J482" s="34"/>
    </row>
    <row r="483" ht="15.75" customHeight="1" spans="10:10">
      <c r="J483" s="34"/>
    </row>
    <row r="484" ht="15.75" customHeight="1" spans="10:10">
      <c r="J484" s="34"/>
    </row>
    <row r="485" ht="15.75" customHeight="1" spans="10:10">
      <c r="J485" s="34"/>
    </row>
    <row r="486" ht="15.75" customHeight="1" spans="10:10">
      <c r="J486" s="34"/>
    </row>
    <row r="487" ht="15.75" customHeight="1" spans="10:10">
      <c r="J487" s="34"/>
    </row>
    <row r="488" ht="15.75" customHeight="1" spans="10:10">
      <c r="J488" s="34"/>
    </row>
    <row r="489" ht="15.75" customHeight="1" spans="10:10">
      <c r="J489" s="34"/>
    </row>
    <row r="490" ht="15.75" customHeight="1" spans="10:10">
      <c r="J490" s="34"/>
    </row>
    <row r="491" ht="15.75" customHeight="1" spans="10:10">
      <c r="J491" s="34"/>
    </row>
    <row r="492" ht="15.75" customHeight="1" spans="10:10">
      <c r="J492" s="34"/>
    </row>
    <row r="493" ht="15.75" customHeight="1" spans="10:10">
      <c r="J493" s="34"/>
    </row>
    <row r="494" ht="15.75" customHeight="1" spans="10:10">
      <c r="J494" s="34"/>
    </row>
    <row r="495" ht="15.75" customHeight="1" spans="10:10">
      <c r="J495" s="34"/>
    </row>
    <row r="496" ht="15.75" customHeight="1" spans="10:10">
      <c r="J496" s="34"/>
    </row>
    <row r="497" ht="15.75" customHeight="1" spans="10:10">
      <c r="J497" s="34"/>
    </row>
    <row r="498" ht="15.75" customHeight="1" spans="10:10">
      <c r="J498" s="34"/>
    </row>
    <row r="499" ht="15.75" customHeight="1" spans="10:10">
      <c r="J499" s="34"/>
    </row>
    <row r="500" ht="15.75" customHeight="1" spans="10:10">
      <c r="J500" s="34"/>
    </row>
    <row r="501" ht="15.75" customHeight="1" spans="10:10">
      <c r="J501" s="34"/>
    </row>
    <row r="502" ht="15.75" customHeight="1" spans="10:10">
      <c r="J502" s="34"/>
    </row>
    <row r="503" ht="15.75" customHeight="1" spans="10:10">
      <c r="J503" s="34"/>
    </row>
    <row r="504" ht="15.75" customHeight="1" spans="10:10">
      <c r="J504" s="34"/>
    </row>
    <row r="505" ht="15.75" customHeight="1" spans="10:10">
      <c r="J505" s="34"/>
    </row>
    <row r="506" ht="15.75" customHeight="1" spans="10:10">
      <c r="J506" s="34"/>
    </row>
    <row r="507" ht="15.75" customHeight="1" spans="10:10">
      <c r="J507" s="34"/>
    </row>
    <row r="508" ht="15.75" customHeight="1" spans="10:10">
      <c r="J508" s="34"/>
    </row>
    <row r="509" ht="15.75" customHeight="1" spans="10:10">
      <c r="J509" s="34"/>
    </row>
    <row r="510" ht="15.75" customHeight="1" spans="10:10">
      <c r="J510" s="34"/>
    </row>
    <row r="511" ht="15.75" customHeight="1" spans="10:10">
      <c r="J511" s="34"/>
    </row>
    <row r="512" ht="15.75" customHeight="1" spans="10:10">
      <c r="J512" s="34"/>
    </row>
    <row r="513" ht="15.75" customHeight="1" spans="10:10">
      <c r="J513" s="34"/>
    </row>
    <row r="514" ht="15.75" customHeight="1" spans="10:10">
      <c r="J514" s="34"/>
    </row>
    <row r="515" ht="15.75" customHeight="1" spans="10:10">
      <c r="J515" s="34"/>
    </row>
    <row r="516" ht="15.75" customHeight="1" spans="10:10">
      <c r="J516" s="34"/>
    </row>
    <row r="517" ht="15.75" customHeight="1" spans="10:10">
      <c r="J517" s="34"/>
    </row>
    <row r="518" ht="15.75" customHeight="1" spans="10:10">
      <c r="J518" s="34"/>
    </row>
    <row r="519" ht="15.75" customHeight="1" spans="10:10">
      <c r="J519" s="34"/>
    </row>
    <row r="520" ht="15.75" customHeight="1" spans="10:10">
      <c r="J520" s="34"/>
    </row>
    <row r="521" ht="15.75" customHeight="1" spans="10:10">
      <c r="J521" s="34"/>
    </row>
    <row r="522" ht="15.75" customHeight="1" spans="10:10">
      <c r="J522" s="34"/>
    </row>
    <row r="523" ht="15.75" customHeight="1" spans="10:10">
      <c r="J523" s="34"/>
    </row>
    <row r="524" ht="15.75" customHeight="1" spans="10:10">
      <c r="J524" s="34"/>
    </row>
    <row r="525" ht="15.75" customHeight="1" spans="10:10">
      <c r="J525" s="34"/>
    </row>
    <row r="526" ht="15.75" customHeight="1" spans="10:10">
      <c r="J526" s="34"/>
    </row>
    <row r="527" ht="15.75" customHeight="1" spans="10:10">
      <c r="J527" s="34"/>
    </row>
    <row r="528" ht="15.75" customHeight="1" spans="10:10">
      <c r="J528" s="34"/>
    </row>
    <row r="529" ht="15.75" customHeight="1" spans="10:10">
      <c r="J529" s="34"/>
    </row>
    <row r="530" ht="15.75" customHeight="1" spans="10:10">
      <c r="J530" s="34"/>
    </row>
    <row r="531" ht="15.75" customHeight="1" spans="10:10">
      <c r="J531" s="34"/>
    </row>
    <row r="532" ht="15.75" customHeight="1" spans="10:10">
      <c r="J532" s="34"/>
    </row>
    <row r="533" ht="15.75" customHeight="1" spans="10:10">
      <c r="J533" s="34"/>
    </row>
    <row r="534" ht="15.75" customHeight="1" spans="10:10">
      <c r="J534" s="34"/>
    </row>
    <row r="535" ht="15.75" customHeight="1" spans="10:10">
      <c r="J535" s="34"/>
    </row>
    <row r="536" ht="15.75" customHeight="1" spans="10:10">
      <c r="J536" s="34"/>
    </row>
    <row r="537" ht="15.75" customHeight="1" spans="10:10">
      <c r="J537" s="34"/>
    </row>
    <row r="538" ht="15.75" customHeight="1" spans="10:10">
      <c r="J538" s="34"/>
    </row>
    <row r="539" ht="15.75" customHeight="1" spans="10:10">
      <c r="J539" s="34"/>
    </row>
    <row r="540" ht="15.75" customHeight="1" spans="10:10">
      <c r="J540" s="34"/>
    </row>
    <row r="541" ht="15.75" customHeight="1" spans="10:10">
      <c r="J541" s="34"/>
    </row>
    <row r="542" ht="15.75" customHeight="1" spans="10:10">
      <c r="J542" s="34"/>
    </row>
    <row r="543" ht="15.75" customHeight="1" spans="10:10">
      <c r="J543" s="34"/>
    </row>
    <row r="544" ht="15.75" customHeight="1" spans="10:10">
      <c r="J544" s="34"/>
    </row>
    <row r="545" ht="15.75" customHeight="1" spans="10:10">
      <c r="J545" s="34"/>
    </row>
    <row r="546" ht="15.75" customHeight="1" spans="10:10">
      <c r="J546" s="34"/>
    </row>
    <row r="547" ht="15.75" customHeight="1" spans="10:10">
      <c r="J547" s="34"/>
    </row>
    <row r="548" ht="15.75" customHeight="1" spans="10:10">
      <c r="J548" s="34"/>
    </row>
    <row r="549" ht="15.75" customHeight="1" spans="10:10">
      <c r="J549" s="34"/>
    </row>
    <row r="550" ht="15.75" customHeight="1" spans="10:10">
      <c r="J550" s="34"/>
    </row>
    <row r="551" ht="15.75" customHeight="1" spans="10:10">
      <c r="J551" s="34"/>
    </row>
    <row r="552" ht="15.75" customHeight="1" spans="10:10">
      <c r="J552" s="34"/>
    </row>
    <row r="553" ht="15.75" customHeight="1" spans="10:10">
      <c r="J553" s="34"/>
    </row>
    <row r="554" ht="15.75" customHeight="1" spans="10:10">
      <c r="J554" s="34"/>
    </row>
    <row r="555" ht="15.75" customHeight="1" spans="10:10">
      <c r="J555" s="34"/>
    </row>
    <row r="556" ht="15.75" customHeight="1" spans="10:10">
      <c r="J556" s="34"/>
    </row>
    <row r="557" ht="15.75" customHeight="1" spans="10:10">
      <c r="J557" s="34"/>
    </row>
    <row r="558" ht="15.75" customHeight="1" spans="10:10">
      <c r="J558" s="34"/>
    </row>
    <row r="559" ht="15.75" customHeight="1" spans="10:10">
      <c r="J559" s="34"/>
    </row>
    <row r="560" ht="15.75" customHeight="1" spans="10:10">
      <c r="J560" s="34"/>
    </row>
    <row r="561" ht="15.75" customHeight="1" spans="10:10">
      <c r="J561" s="34"/>
    </row>
    <row r="562" ht="15.75" customHeight="1" spans="10:10">
      <c r="J562" s="34"/>
    </row>
    <row r="563" ht="15.75" customHeight="1" spans="10:10">
      <c r="J563" s="34"/>
    </row>
    <row r="564" ht="15.75" customHeight="1" spans="10:10">
      <c r="J564" s="34"/>
    </row>
    <row r="565" ht="15.75" customHeight="1" spans="10:10">
      <c r="J565" s="34"/>
    </row>
    <row r="566" ht="15.75" customHeight="1" spans="10:10">
      <c r="J566" s="34"/>
    </row>
    <row r="567" ht="15.75" customHeight="1" spans="10:10">
      <c r="J567" s="34"/>
    </row>
    <row r="568" ht="15.75" customHeight="1" spans="10:10">
      <c r="J568" s="34"/>
    </row>
    <row r="569" ht="15.75" customHeight="1" spans="10:10">
      <c r="J569" s="34"/>
    </row>
    <row r="570" ht="15.75" customHeight="1" spans="10:10">
      <c r="J570" s="34"/>
    </row>
    <row r="571" ht="15.75" customHeight="1" spans="10:10">
      <c r="J571" s="34"/>
    </row>
    <row r="572" ht="15.75" customHeight="1" spans="10:10">
      <c r="J572" s="34"/>
    </row>
    <row r="573" ht="15.75" customHeight="1" spans="10:10">
      <c r="J573" s="34"/>
    </row>
    <row r="574" ht="15.75" customHeight="1" spans="10:10">
      <c r="J574" s="34"/>
    </row>
    <row r="575" ht="15.75" customHeight="1" spans="10:10">
      <c r="J575" s="34"/>
    </row>
    <row r="576" ht="15.75" customHeight="1" spans="10:10">
      <c r="J576" s="34"/>
    </row>
    <row r="577" ht="15.75" customHeight="1" spans="10:10">
      <c r="J577" s="34"/>
    </row>
    <row r="578" ht="15.75" customHeight="1" spans="10:10">
      <c r="J578" s="34"/>
    </row>
    <row r="579" ht="15.75" customHeight="1" spans="10:10">
      <c r="J579" s="34"/>
    </row>
    <row r="580" ht="15.75" customHeight="1" spans="10:10">
      <c r="J580" s="34"/>
    </row>
    <row r="581" ht="15.75" customHeight="1" spans="10:10">
      <c r="J581" s="34"/>
    </row>
    <row r="582" ht="15.75" customHeight="1" spans="10:10">
      <c r="J582" s="34"/>
    </row>
    <row r="583" ht="15.75" customHeight="1" spans="10:10">
      <c r="J583" s="34"/>
    </row>
    <row r="584" ht="15.75" customHeight="1" spans="10:10">
      <c r="J584" s="34"/>
    </row>
    <row r="585" ht="15.75" customHeight="1" spans="10:10">
      <c r="J585" s="34"/>
    </row>
    <row r="586" ht="15.75" customHeight="1" spans="10:10">
      <c r="J586" s="34"/>
    </row>
    <row r="587" ht="15.75" customHeight="1" spans="10:10">
      <c r="J587" s="34"/>
    </row>
    <row r="588" ht="15.75" customHeight="1" spans="10:10">
      <c r="J588" s="34"/>
    </row>
    <row r="589" ht="15.75" customHeight="1" spans="10:10">
      <c r="J589" s="34"/>
    </row>
    <row r="590" ht="15.75" customHeight="1" spans="10:10">
      <c r="J590" s="34"/>
    </row>
    <row r="591" ht="15.75" customHeight="1" spans="10:10">
      <c r="J591" s="34"/>
    </row>
    <row r="592" ht="15.75" customHeight="1" spans="10:10">
      <c r="J592" s="34"/>
    </row>
    <row r="593" ht="15.75" customHeight="1" spans="10:10">
      <c r="J593" s="34"/>
    </row>
    <row r="594" ht="15.75" customHeight="1" spans="10:10">
      <c r="J594" s="34"/>
    </row>
    <row r="595" ht="15.75" customHeight="1" spans="10:10">
      <c r="J595" s="34"/>
    </row>
    <row r="596" ht="15.75" customHeight="1" spans="10:10">
      <c r="J596" s="34"/>
    </row>
    <row r="597" ht="15.75" customHeight="1" spans="10:10">
      <c r="J597" s="34"/>
    </row>
    <row r="598" ht="15.75" customHeight="1" spans="10:10">
      <c r="J598" s="34"/>
    </row>
    <row r="599" ht="15.75" customHeight="1" spans="10:10">
      <c r="J599" s="34"/>
    </row>
    <row r="600" ht="15.75" customHeight="1" spans="10:10">
      <c r="J600" s="34"/>
    </row>
    <row r="601" ht="15.75" customHeight="1" spans="10:10">
      <c r="J601" s="34"/>
    </row>
    <row r="602" ht="15.75" customHeight="1" spans="10:10">
      <c r="J602" s="34"/>
    </row>
    <row r="603" ht="15.75" customHeight="1" spans="10:10">
      <c r="J603" s="34"/>
    </row>
    <row r="604" ht="15.75" customHeight="1" spans="10:10">
      <c r="J604" s="34"/>
    </row>
    <row r="605" ht="15.75" customHeight="1" spans="10:10">
      <c r="J605" s="34"/>
    </row>
    <row r="606" ht="15.75" customHeight="1" spans="10:10">
      <c r="J606" s="34"/>
    </row>
    <row r="607" ht="15.75" customHeight="1" spans="10:10">
      <c r="J607" s="34"/>
    </row>
    <row r="608" ht="15.75" customHeight="1" spans="10:10">
      <c r="J608" s="34"/>
    </row>
    <row r="609" ht="15.75" customHeight="1" spans="10:10">
      <c r="J609" s="34"/>
    </row>
    <row r="610" ht="15.75" customHeight="1" spans="10:10">
      <c r="J610" s="34"/>
    </row>
    <row r="611" ht="15.75" customHeight="1" spans="10:10">
      <c r="J611" s="34"/>
    </row>
    <row r="612" ht="15.75" customHeight="1" spans="10:10">
      <c r="J612" s="34"/>
    </row>
    <row r="613" ht="15.75" customHeight="1" spans="10:10">
      <c r="J613" s="34"/>
    </row>
    <row r="614" ht="15.75" customHeight="1" spans="10:10">
      <c r="J614" s="34"/>
    </row>
    <row r="615" ht="15.75" customHeight="1" spans="10:10">
      <c r="J615" s="34"/>
    </row>
    <row r="616" ht="15.75" customHeight="1" spans="10:10">
      <c r="J616" s="34"/>
    </row>
    <row r="617" ht="15.75" customHeight="1" spans="10:10">
      <c r="J617" s="34"/>
    </row>
    <row r="618" ht="15.75" customHeight="1" spans="10:10">
      <c r="J618" s="34"/>
    </row>
    <row r="619" ht="15.75" customHeight="1" spans="10:10">
      <c r="J619" s="34"/>
    </row>
    <row r="620" ht="15.75" customHeight="1" spans="10:10">
      <c r="J620" s="34"/>
    </row>
    <row r="621" ht="15.75" customHeight="1" spans="10:10">
      <c r="J621" s="34"/>
    </row>
    <row r="622" ht="15.75" customHeight="1" spans="10:10">
      <c r="J622" s="34"/>
    </row>
    <row r="623" ht="15.75" customHeight="1" spans="10:10">
      <c r="J623" s="34"/>
    </row>
    <row r="624" ht="15.75" customHeight="1" spans="10:10">
      <c r="J624" s="34"/>
    </row>
    <row r="625" ht="15.75" customHeight="1" spans="10:10">
      <c r="J625" s="34"/>
    </row>
    <row r="626" ht="15.75" customHeight="1" spans="10:10">
      <c r="J626" s="34"/>
    </row>
    <row r="627" ht="15.75" customHeight="1" spans="10:10">
      <c r="J627" s="34"/>
    </row>
    <row r="628" ht="15.75" customHeight="1" spans="10:10">
      <c r="J628" s="34"/>
    </row>
    <row r="629" ht="15.75" customHeight="1" spans="10:10">
      <c r="J629" s="34"/>
    </row>
    <row r="630" ht="15.75" customHeight="1" spans="10:10">
      <c r="J630" s="34"/>
    </row>
    <row r="631" ht="15.75" customHeight="1" spans="10:10">
      <c r="J631" s="34"/>
    </row>
    <row r="632" ht="15.75" customHeight="1" spans="10:10">
      <c r="J632" s="34"/>
    </row>
    <row r="633" ht="15.75" customHeight="1" spans="10:10">
      <c r="J633" s="34"/>
    </row>
    <row r="634" ht="15.75" customHeight="1" spans="10:10">
      <c r="J634" s="34"/>
    </row>
    <row r="635" ht="15.75" customHeight="1" spans="10:10">
      <c r="J635" s="34"/>
    </row>
    <row r="636" ht="15.75" customHeight="1" spans="10:10">
      <c r="J636" s="34"/>
    </row>
    <row r="637" ht="15.75" customHeight="1" spans="10:10">
      <c r="J637" s="34"/>
    </row>
    <row r="638" ht="15.75" customHeight="1" spans="10:10">
      <c r="J638" s="34"/>
    </row>
    <row r="639" ht="15.75" customHeight="1" spans="10:10">
      <c r="J639" s="34"/>
    </row>
    <row r="640" ht="15.75" customHeight="1" spans="10:10">
      <c r="J640" s="34"/>
    </row>
    <row r="641" ht="15.75" customHeight="1" spans="10:10">
      <c r="J641" s="34"/>
    </row>
    <row r="642" ht="15.75" customHeight="1" spans="10:10">
      <c r="J642" s="34"/>
    </row>
    <row r="643" ht="15.75" customHeight="1" spans="10:10">
      <c r="J643" s="34"/>
    </row>
    <row r="644" ht="15.75" customHeight="1" spans="10:10">
      <c r="J644" s="34"/>
    </row>
    <row r="645" ht="15.75" customHeight="1" spans="10:10">
      <c r="J645" s="34"/>
    </row>
    <row r="646" ht="15.75" customHeight="1" spans="10:10">
      <c r="J646" s="34"/>
    </row>
    <row r="647" ht="15.75" customHeight="1" spans="10:10">
      <c r="J647" s="34"/>
    </row>
    <row r="648" ht="15.75" customHeight="1" spans="10:10">
      <c r="J648" s="34"/>
    </row>
    <row r="649" ht="15.75" customHeight="1" spans="10:10">
      <c r="J649" s="34"/>
    </row>
    <row r="650" ht="15.75" customHeight="1" spans="10:10">
      <c r="J650" s="34"/>
    </row>
    <row r="651" ht="15.75" customHeight="1" spans="10:10">
      <c r="J651" s="34"/>
    </row>
    <row r="652" ht="15.75" customHeight="1" spans="10:10">
      <c r="J652" s="34"/>
    </row>
    <row r="653" ht="15.75" customHeight="1" spans="10:10">
      <c r="J653" s="34"/>
    </row>
    <row r="654" ht="15.75" customHeight="1" spans="10:10">
      <c r="J654" s="34"/>
    </row>
    <row r="655" ht="15.75" customHeight="1" spans="10:10">
      <c r="J655" s="34"/>
    </row>
    <row r="656" ht="15.75" customHeight="1" spans="10:10">
      <c r="J656" s="34"/>
    </row>
    <row r="657" ht="15.75" customHeight="1" spans="10:10">
      <c r="J657" s="34"/>
    </row>
    <row r="658" ht="15.75" customHeight="1" spans="10:10">
      <c r="J658" s="34"/>
    </row>
    <row r="659" ht="15.75" customHeight="1" spans="10:10">
      <c r="J659" s="34"/>
    </row>
    <row r="660" ht="15.75" customHeight="1" spans="10:10">
      <c r="J660" s="34"/>
    </row>
    <row r="661" ht="15.75" customHeight="1" spans="10:10">
      <c r="J661" s="34"/>
    </row>
    <row r="662" ht="15.75" customHeight="1" spans="10:10">
      <c r="J662" s="34"/>
    </row>
    <row r="663" ht="15.75" customHeight="1" spans="10:10">
      <c r="J663" s="34"/>
    </row>
    <row r="664" ht="15.75" customHeight="1" spans="10:10">
      <c r="J664" s="34"/>
    </row>
    <row r="665" ht="15.75" customHeight="1" spans="10:10">
      <c r="J665" s="34"/>
    </row>
    <row r="666" ht="15.75" customHeight="1" spans="10:10">
      <c r="J666" s="34"/>
    </row>
    <row r="667" ht="15.75" customHeight="1" spans="10:10">
      <c r="J667" s="34"/>
    </row>
    <row r="668" ht="15.75" customHeight="1" spans="10:10">
      <c r="J668" s="34"/>
    </row>
    <row r="669" ht="15.75" customHeight="1" spans="10:10">
      <c r="J669" s="34"/>
    </row>
    <row r="670" ht="15.75" customHeight="1" spans="10:10">
      <c r="J670" s="34"/>
    </row>
    <row r="671" ht="15.75" customHeight="1" spans="10:10">
      <c r="J671" s="34"/>
    </row>
    <row r="672" ht="15.75" customHeight="1" spans="10:10">
      <c r="J672" s="34"/>
    </row>
    <row r="673" ht="15.75" customHeight="1" spans="10:10">
      <c r="J673" s="34"/>
    </row>
    <row r="674" ht="15.75" customHeight="1" spans="10:10">
      <c r="J674" s="34"/>
    </row>
    <row r="675" ht="15.75" customHeight="1" spans="10:10">
      <c r="J675" s="34"/>
    </row>
    <row r="676" ht="15.75" customHeight="1" spans="10:10">
      <c r="J676" s="34"/>
    </row>
    <row r="677" ht="15.75" customHeight="1" spans="10:10">
      <c r="J677" s="34"/>
    </row>
    <row r="678" ht="15.75" customHeight="1" spans="10:10">
      <c r="J678" s="34"/>
    </row>
    <row r="679" ht="15.75" customHeight="1" spans="10:10">
      <c r="J679" s="34"/>
    </row>
    <row r="680" ht="15.75" customHeight="1" spans="10:10">
      <c r="J680" s="34"/>
    </row>
    <row r="681" ht="15.75" customHeight="1" spans="10:10">
      <c r="J681" s="34"/>
    </row>
    <row r="682" ht="15.75" customHeight="1" spans="10:10">
      <c r="J682" s="34"/>
    </row>
    <row r="683" ht="15.75" customHeight="1" spans="10:10">
      <c r="J683" s="34"/>
    </row>
    <row r="684" ht="15.75" customHeight="1" spans="10:10">
      <c r="J684" s="34"/>
    </row>
    <row r="685" ht="15.75" customHeight="1" spans="10:10">
      <c r="J685" s="34"/>
    </row>
    <row r="686" ht="15.75" customHeight="1" spans="10:10">
      <c r="J686" s="34"/>
    </row>
    <row r="687" ht="15.75" customHeight="1" spans="10:10">
      <c r="J687" s="34"/>
    </row>
    <row r="688" ht="15.75" customHeight="1" spans="10:10">
      <c r="J688" s="34"/>
    </row>
    <row r="689" ht="15.75" customHeight="1" spans="10:10">
      <c r="J689" s="34"/>
    </row>
    <row r="690" ht="15.75" customHeight="1" spans="10:10">
      <c r="J690" s="34"/>
    </row>
    <row r="691" ht="15.75" customHeight="1" spans="10:10">
      <c r="J691" s="34"/>
    </row>
    <row r="692" ht="15.75" customHeight="1" spans="10:10">
      <c r="J692" s="34"/>
    </row>
    <row r="693" ht="15.75" customHeight="1" spans="10:10">
      <c r="J693" s="34"/>
    </row>
    <row r="694" ht="15.75" customHeight="1" spans="10:10">
      <c r="J694" s="34"/>
    </row>
    <row r="695" ht="15.75" customHeight="1" spans="10:10">
      <c r="J695" s="34"/>
    </row>
    <row r="696" ht="15.75" customHeight="1" spans="10:10">
      <c r="J696" s="34"/>
    </row>
    <row r="697" ht="15.75" customHeight="1" spans="10:10">
      <c r="J697" s="34"/>
    </row>
    <row r="698" ht="15.75" customHeight="1" spans="10:10">
      <c r="J698" s="34"/>
    </row>
    <row r="699" ht="15.75" customHeight="1" spans="10:10">
      <c r="J699" s="34"/>
    </row>
    <row r="700" ht="15.75" customHeight="1" spans="10:10">
      <c r="J700" s="34"/>
    </row>
    <row r="701" ht="15.75" customHeight="1" spans="10:10">
      <c r="J701" s="34"/>
    </row>
    <row r="702" ht="15.75" customHeight="1" spans="10:10">
      <c r="J702" s="34"/>
    </row>
    <row r="703" ht="15.75" customHeight="1" spans="10:10">
      <c r="J703" s="34"/>
    </row>
    <row r="704" ht="15.75" customHeight="1" spans="10:10">
      <c r="J704" s="34"/>
    </row>
    <row r="705" ht="15.75" customHeight="1" spans="10:10">
      <c r="J705" s="34"/>
    </row>
    <row r="706" ht="15.75" customHeight="1" spans="10:10">
      <c r="J706" s="34"/>
    </row>
    <row r="707" ht="15.75" customHeight="1" spans="10:10">
      <c r="J707" s="34"/>
    </row>
    <row r="708" ht="15.75" customHeight="1" spans="10:10">
      <c r="J708" s="34"/>
    </row>
    <row r="709" ht="15.75" customHeight="1" spans="10:10">
      <c r="J709" s="34"/>
    </row>
    <row r="710" ht="15.75" customHeight="1" spans="10:10">
      <c r="J710" s="34"/>
    </row>
    <row r="711" ht="15.75" customHeight="1" spans="10:10">
      <c r="J711" s="34"/>
    </row>
    <row r="712" ht="15.75" customHeight="1" spans="10:10">
      <c r="J712" s="34"/>
    </row>
    <row r="713" ht="15.75" customHeight="1" spans="10:10">
      <c r="J713" s="34"/>
    </row>
    <row r="714" ht="15.75" customHeight="1" spans="10:10">
      <c r="J714" s="34"/>
    </row>
    <row r="715" ht="15.75" customHeight="1" spans="10:10">
      <c r="J715" s="34"/>
    </row>
    <row r="716" ht="15.75" customHeight="1" spans="10:10">
      <c r="J716" s="34"/>
    </row>
    <row r="717" ht="15.75" customHeight="1" spans="10:10">
      <c r="J717" s="34"/>
    </row>
    <row r="718" ht="15.75" customHeight="1" spans="10:10">
      <c r="J718" s="34"/>
    </row>
    <row r="719" ht="15.75" customHeight="1" spans="10:10">
      <c r="J719" s="34"/>
    </row>
    <row r="720" ht="15.75" customHeight="1" spans="10:10">
      <c r="J720" s="34"/>
    </row>
    <row r="721" ht="15.75" customHeight="1" spans="10:10">
      <c r="J721" s="34"/>
    </row>
    <row r="722" ht="15.75" customHeight="1" spans="10:10">
      <c r="J722" s="34"/>
    </row>
    <row r="723" ht="15.75" customHeight="1" spans="10:10">
      <c r="J723" s="34"/>
    </row>
    <row r="724" ht="15.75" customHeight="1" spans="10:10">
      <c r="J724" s="34"/>
    </row>
    <row r="725" ht="15.75" customHeight="1" spans="10:10">
      <c r="J725" s="34"/>
    </row>
    <row r="726" ht="15.75" customHeight="1" spans="10:10">
      <c r="J726" s="34"/>
    </row>
    <row r="727" ht="15.75" customHeight="1" spans="10:10">
      <c r="J727" s="34"/>
    </row>
    <row r="728" ht="15.75" customHeight="1" spans="10:10">
      <c r="J728" s="34"/>
    </row>
    <row r="729" ht="15.75" customHeight="1" spans="10:10">
      <c r="J729" s="34"/>
    </row>
    <row r="730" ht="15.75" customHeight="1" spans="10:10">
      <c r="J730" s="34"/>
    </row>
    <row r="731" ht="15.75" customHeight="1" spans="10:10">
      <c r="J731" s="34"/>
    </row>
    <row r="732" ht="15.75" customHeight="1" spans="10:10">
      <c r="J732" s="34"/>
    </row>
    <row r="733" ht="15.75" customHeight="1" spans="10:10">
      <c r="J733" s="34"/>
    </row>
    <row r="734" ht="15.75" customHeight="1" spans="10:10">
      <c r="J734" s="34"/>
    </row>
    <row r="735" ht="15.75" customHeight="1" spans="10:10">
      <c r="J735" s="34"/>
    </row>
    <row r="736" ht="15.75" customHeight="1" spans="10:10">
      <c r="J736" s="34"/>
    </row>
    <row r="737" ht="15.75" customHeight="1" spans="10:10">
      <c r="J737" s="34"/>
    </row>
    <row r="738" ht="15.75" customHeight="1" spans="10:10">
      <c r="J738" s="34"/>
    </row>
    <row r="739" ht="15.75" customHeight="1" spans="10:10">
      <c r="J739" s="34"/>
    </row>
    <row r="740" ht="15.75" customHeight="1" spans="10:10">
      <c r="J740" s="34"/>
    </row>
    <row r="741" ht="15.75" customHeight="1" spans="10:10">
      <c r="J741" s="34"/>
    </row>
    <row r="742" ht="15.75" customHeight="1" spans="10:10">
      <c r="J742" s="34"/>
    </row>
    <row r="743" ht="15.75" customHeight="1" spans="10:10">
      <c r="J743" s="34"/>
    </row>
    <row r="744" ht="15.75" customHeight="1" spans="10:10">
      <c r="J744" s="34"/>
    </row>
    <row r="745" ht="15.75" customHeight="1" spans="10:10">
      <c r="J745" s="34"/>
    </row>
    <row r="746" ht="15.75" customHeight="1" spans="10:10">
      <c r="J746" s="34"/>
    </row>
    <row r="747" ht="15.75" customHeight="1" spans="10:10">
      <c r="J747" s="34"/>
    </row>
    <row r="748" ht="15.75" customHeight="1" spans="10:10">
      <c r="J748" s="34"/>
    </row>
    <row r="749" ht="15.75" customHeight="1" spans="10:10">
      <c r="J749" s="34"/>
    </row>
    <row r="750" ht="15.75" customHeight="1" spans="10:10">
      <c r="J750" s="34"/>
    </row>
    <row r="751" ht="15.75" customHeight="1" spans="10:10">
      <c r="J751" s="34"/>
    </row>
    <row r="752" ht="15.75" customHeight="1" spans="10:10">
      <c r="J752" s="34"/>
    </row>
    <row r="753" ht="15.75" customHeight="1" spans="10:10">
      <c r="J753" s="34"/>
    </row>
    <row r="754" ht="15.75" customHeight="1" spans="10:10">
      <c r="J754" s="34"/>
    </row>
    <row r="755" ht="15.75" customHeight="1" spans="10:10">
      <c r="J755" s="34"/>
    </row>
    <row r="756" ht="15.75" customHeight="1" spans="10:10">
      <c r="J756" s="34"/>
    </row>
    <row r="757" ht="15.75" customHeight="1" spans="10:10">
      <c r="J757" s="34"/>
    </row>
    <row r="758" ht="15.75" customHeight="1" spans="10:10">
      <c r="J758" s="34"/>
    </row>
    <row r="759" ht="15.75" customHeight="1" spans="10:10">
      <c r="J759" s="34"/>
    </row>
    <row r="760" ht="15.75" customHeight="1" spans="10:10">
      <c r="J760" s="34"/>
    </row>
    <row r="761" ht="15.75" customHeight="1" spans="10:10">
      <c r="J761" s="34"/>
    </row>
    <row r="762" ht="15.75" customHeight="1" spans="10:10">
      <c r="J762" s="34"/>
    </row>
    <row r="763" ht="15.75" customHeight="1" spans="10:10">
      <c r="J763" s="34"/>
    </row>
    <row r="764" ht="15.75" customHeight="1" spans="10:10">
      <c r="J764" s="34"/>
    </row>
    <row r="765" ht="15.75" customHeight="1" spans="10:10">
      <c r="J765" s="34"/>
    </row>
    <row r="766" ht="15.75" customHeight="1" spans="10:10">
      <c r="J766" s="34"/>
    </row>
    <row r="767" ht="15.75" customHeight="1" spans="10:10">
      <c r="J767" s="34"/>
    </row>
    <row r="768" ht="15.75" customHeight="1" spans="10:10">
      <c r="J768" s="34"/>
    </row>
    <row r="769" ht="15.75" customHeight="1" spans="10:10">
      <c r="J769" s="34"/>
    </row>
    <row r="770" ht="15.75" customHeight="1" spans="10:10">
      <c r="J770" s="34"/>
    </row>
    <row r="771" ht="15.75" customHeight="1" spans="10:10">
      <c r="J771" s="34"/>
    </row>
    <row r="772" ht="15.75" customHeight="1" spans="10:10">
      <c r="J772" s="34"/>
    </row>
    <row r="773" ht="15.75" customHeight="1" spans="10:10">
      <c r="J773" s="34"/>
    </row>
    <row r="774" ht="15.75" customHeight="1" spans="10:10">
      <c r="J774" s="34"/>
    </row>
    <row r="775" ht="15.75" customHeight="1" spans="10:10">
      <c r="J775" s="34"/>
    </row>
    <row r="776" ht="15.75" customHeight="1" spans="10:10">
      <c r="J776" s="34"/>
    </row>
    <row r="777" ht="15.75" customHeight="1" spans="10:10">
      <c r="J777" s="34"/>
    </row>
    <row r="778" ht="15.75" customHeight="1" spans="10:10">
      <c r="J778" s="34"/>
    </row>
    <row r="779" ht="15.75" customHeight="1" spans="10:10">
      <c r="J779" s="34"/>
    </row>
    <row r="780" ht="15.75" customHeight="1" spans="10:10">
      <c r="J780" s="34"/>
    </row>
    <row r="781" ht="15.75" customHeight="1" spans="10:10">
      <c r="J781" s="34"/>
    </row>
    <row r="782" ht="15.75" customHeight="1" spans="10:10">
      <c r="J782" s="34"/>
    </row>
    <row r="783" ht="15.75" customHeight="1" spans="10:10">
      <c r="J783" s="34"/>
    </row>
    <row r="784" ht="15.75" customHeight="1" spans="10:10">
      <c r="J784" s="34"/>
    </row>
    <row r="785" ht="15.75" customHeight="1" spans="10:10">
      <c r="J785" s="34"/>
    </row>
    <row r="786" ht="15.75" customHeight="1" spans="10:10">
      <c r="J786" s="34"/>
    </row>
    <row r="787" ht="15.75" customHeight="1" spans="10:10">
      <c r="J787" s="34"/>
    </row>
    <row r="788" ht="15.75" customHeight="1" spans="10:10">
      <c r="J788" s="34"/>
    </row>
    <row r="789" ht="15.75" customHeight="1" spans="10:10">
      <c r="J789" s="34"/>
    </row>
    <row r="790" ht="15.75" customHeight="1" spans="10:10">
      <c r="J790" s="34"/>
    </row>
    <row r="791" ht="15.75" customHeight="1" spans="10:10">
      <c r="J791" s="34"/>
    </row>
    <row r="792" ht="15.75" customHeight="1" spans="10:10">
      <c r="J792" s="34"/>
    </row>
    <row r="793" ht="15.75" customHeight="1" spans="10:10">
      <c r="J793" s="34"/>
    </row>
    <row r="794" ht="15.75" customHeight="1" spans="10:10">
      <c r="J794" s="34"/>
    </row>
    <row r="795" ht="15.75" customHeight="1" spans="10:10">
      <c r="J795" s="34"/>
    </row>
    <row r="796" ht="15.75" customHeight="1" spans="10:10">
      <c r="J796" s="34"/>
    </row>
    <row r="797" ht="15.75" customHeight="1" spans="10:10">
      <c r="J797" s="34"/>
    </row>
    <row r="798" ht="15.75" customHeight="1" spans="10:10">
      <c r="J798" s="34"/>
    </row>
    <row r="799" ht="15.75" customHeight="1" spans="10:10">
      <c r="J799" s="34"/>
    </row>
    <row r="800" ht="15.75" customHeight="1" spans="10:10">
      <c r="J800" s="34"/>
    </row>
    <row r="801" ht="15.75" customHeight="1" spans="10:10">
      <c r="J801" s="34"/>
    </row>
    <row r="802" ht="15.75" customHeight="1" spans="10:10">
      <c r="J802" s="34"/>
    </row>
    <row r="803" ht="15.75" customHeight="1" spans="10:10">
      <c r="J803" s="34"/>
    </row>
    <row r="804" ht="15.75" customHeight="1" spans="10:10">
      <c r="J804" s="34"/>
    </row>
    <row r="805" ht="15.75" customHeight="1" spans="10:10">
      <c r="J805" s="34"/>
    </row>
    <row r="806" ht="15.75" customHeight="1" spans="10:10">
      <c r="J806" s="34"/>
    </row>
    <row r="807" ht="15.75" customHeight="1" spans="10:10">
      <c r="J807" s="34"/>
    </row>
    <row r="808" ht="15.75" customHeight="1" spans="10:10">
      <c r="J808" s="34"/>
    </row>
    <row r="809" ht="15.75" customHeight="1" spans="10:10">
      <c r="J809" s="34"/>
    </row>
    <row r="810" ht="15.75" customHeight="1" spans="10:10">
      <c r="J810" s="34"/>
    </row>
    <row r="811" ht="15.75" customHeight="1" spans="10:10">
      <c r="J811" s="34"/>
    </row>
    <row r="812" ht="15.75" customHeight="1" spans="10:10">
      <c r="J812" s="34"/>
    </row>
    <row r="813" ht="15.75" customHeight="1" spans="10:10">
      <c r="J813" s="34"/>
    </row>
    <row r="814" ht="15.75" customHeight="1" spans="10:10">
      <c r="J814" s="34"/>
    </row>
    <row r="815" ht="15.75" customHeight="1" spans="10:10">
      <c r="J815" s="34"/>
    </row>
    <row r="816" ht="15.75" customHeight="1" spans="10:10">
      <c r="J816" s="34"/>
    </row>
    <row r="817" ht="15.75" customHeight="1" spans="10:10">
      <c r="J817" s="34"/>
    </row>
    <row r="818" ht="15.75" customHeight="1" spans="10:10">
      <c r="J818" s="34"/>
    </row>
    <row r="819" ht="15.75" customHeight="1" spans="10:10">
      <c r="J819" s="34"/>
    </row>
    <row r="820" ht="15.75" customHeight="1" spans="10:10">
      <c r="J820" s="34"/>
    </row>
    <row r="821" ht="15.75" customHeight="1" spans="10:10">
      <c r="J821" s="34"/>
    </row>
    <row r="822" ht="15.75" customHeight="1" spans="10:10">
      <c r="J822" s="34"/>
    </row>
    <row r="823" ht="15.75" customHeight="1" spans="10:10">
      <c r="J823" s="34"/>
    </row>
    <row r="824" ht="15.75" customHeight="1" spans="10:10">
      <c r="J824" s="34"/>
    </row>
    <row r="825" ht="15.75" customHeight="1" spans="10:10">
      <c r="J825" s="34"/>
    </row>
    <row r="826" ht="15.75" customHeight="1" spans="10:10">
      <c r="J826" s="34"/>
    </row>
    <row r="827" ht="15.75" customHeight="1" spans="10:10">
      <c r="J827" s="34"/>
    </row>
    <row r="828" ht="15.75" customHeight="1" spans="10:10">
      <c r="J828" s="34"/>
    </row>
    <row r="829" ht="15.75" customHeight="1" spans="10:10">
      <c r="J829" s="34"/>
    </row>
    <row r="830" ht="15.75" customHeight="1" spans="10:10">
      <c r="J830" s="34"/>
    </row>
    <row r="831" ht="15.75" customHeight="1" spans="10:10">
      <c r="J831" s="34"/>
    </row>
    <row r="832" ht="15.75" customHeight="1" spans="10:10">
      <c r="J832" s="34"/>
    </row>
    <row r="833" ht="15.75" customHeight="1" spans="10:10">
      <c r="J833" s="34"/>
    </row>
    <row r="834" ht="15.75" customHeight="1" spans="10:10">
      <c r="J834" s="34"/>
    </row>
    <row r="835" ht="15.75" customHeight="1" spans="10:10">
      <c r="J835" s="34"/>
    </row>
    <row r="836" ht="15.75" customHeight="1" spans="10:10">
      <c r="J836" s="34"/>
    </row>
    <row r="837" ht="15.75" customHeight="1" spans="10:10">
      <c r="J837" s="34"/>
    </row>
    <row r="838" ht="15.75" customHeight="1" spans="10:10">
      <c r="J838" s="34"/>
    </row>
    <row r="839" ht="15.75" customHeight="1" spans="10:10">
      <c r="J839" s="34"/>
    </row>
    <row r="840" ht="15.75" customHeight="1" spans="10:10">
      <c r="J840" s="34"/>
    </row>
    <row r="841" ht="15.75" customHeight="1" spans="10:10">
      <c r="J841" s="34"/>
    </row>
    <row r="842" ht="15.75" customHeight="1" spans="10:10">
      <c r="J842" s="34"/>
    </row>
    <row r="843" ht="15.75" customHeight="1" spans="10:10">
      <c r="J843" s="34"/>
    </row>
    <row r="844" ht="15.75" customHeight="1" spans="10:10">
      <c r="J844" s="34"/>
    </row>
    <row r="845" ht="15.75" customHeight="1" spans="10:10">
      <c r="J845" s="34"/>
    </row>
    <row r="846" ht="15.75" customHeight="1" spans="10:10">
      <c r="J846" s="34"/>
    </row>
    <row r="847" ht="15.75" customHeight="1" spans="10:10">
      <c r="J847" s="34"/>
    </row>
    <row r="848" ht="15.75" customHeight="1" spans="10:10">
      <c r="J848" s="34"/>
    </row>
    <row r="849" ht="15.75" customHeight="1" spans="10:10">
      <c r="J849" s="34"/>
    </row>
    <row r="850" ht="15.75" customHeight="1" spans="10:10">
      <c r="J850" s="34"/>
    </row>
    <row r="851" ht="15.75" customHeight="1" spans="10:10">
      <c r="J851" s="34"/>
    </row>
    <row r="852" ht="15.75" customHeight="1" spans="10:10">
      <c r="J852" s="34"/>
    </row>
    <row r="853" ht="15.75" customHeight="1" spans="10:10">
      <c r="J853" s="34"/>
    </row>
    <row r="854" ht="15.75" customHeight="1" spans="10:10">
      <c r="J854" s="34"/>
    </row>
    <row r="855" ht="15.75" customHeight="1" spans="10:10">
      <c r="J855" s="34"/>
    </row>
    <row r="856" ht="15.75" customHeight="1" spans="10:10">
      <c r="J856" s="34"/>
    </row>
    <row r="857" ht="15.75" customHeight="1" spans="10:10">
      <c r="J857" s="34"/>
    </row>
    <row r="858" ht="15.75" customHeight="1" spans="10:10">
      <c r="J858" s="34"/>
    </row>
    <row r="859" ht="15.75" customHeight="1" spans="10:10">
      <c r="J859" s="34"/>
    </row>
    <row r="860" ht="15.75" customHeight="1" spans="10:10">
      <c r="J860" s="34"/>
    </row>
    <row r="861" ht="15.75" customHeight="1" spans="10:10">
      <c r="J861" s="34"/>
    </row>
    <row r="862" ht="15.75" customHeight="1" spans="10:10">
      <c r="J862" s="34"/>
    </row>
    <row r="863" ht="15.75" customHeight="1" spans="10:10">
      <c r="J863" s="34"/>
    </row>
    <row r="864" ht="15.75" customHeight="1" spans="10:10">
      <c r="J864" s="34"/>
    </row>
    <row r="865" ht="15.75" customHeight="1" spans="10:10">
      <c r="J865" s="34"/>
    </row>
    <row r="866" ht="15.75" customHeight="1" spans="10:10">
      <c r="J866" s="34"/>
    </row>
    <row r="867" ht="15.75" customHeight="1" spans="10:10">
      <c r="J867" s="34"/>
    </row>
    <row r="868" ht="15.75" customHeight="1" spans="10:10">
      <c r="J868" s="34"/>
    </row>
    <row r="869" ht="15.75" customHeight="1" spans="10:10">
      <c r="J869" s="34"/>
    </row>
    <row r="870" ht="15.75" customHeight="1" spans="10:10">
      <c r="J870" s="34"/>
    </row>
    <row r="871" ht="15.75" customHeight="1" spans="10:10">
      <c r="J871" s="34"/>
    </row>
    <row r="872" ht="15.75" customHeight="1" spans="10:10">
      <c r="J872" s="34"/>
    </row>
    <row r="873" ht="15.75" customHeight="1" spans="10:10">
      <c r="J873" s="34"/>
    </row>
    <row r="874" ht="15.75" customHeight="1" spans="10:10">
      <c r="J874" s="34"/>
    </row>
    <row r="875" ht="15.75" customHeight="1" spans="10:10">
      <c r="J875" s="34"/>
    </row>
    <row r="876" ht="15.75" customHeight="1" spans="10:10">
      <c r="J876" s="34"/>
    </row>
    <row r="877" ht="15.75" customHeight="1" spans="10:10">
      <c r="J877" s="34"/>
    </row>
    <row r="878" ht="15.75" customHeight="1" spans="10:10">
      <c r="J878" s="34"/>
    </row>
    <row r="879" ht="15.75" customHeight="1" spans="10:10">
      <c r="J879" s="34"/>
    </row>
    <row r="880" ht="15.75" customHeight="1" spans="10:10">
      <c r="J880" s="34"/>
    </row>
    <row r="881" ht="15.75" customHeight="1" spans="10:10">
      <c r="J881" s="34"/>
    </row>
    <row r="882" ht="15.75" customHeight="1" spans="10:10">
      <c r="J882" s="34"/>
    </row>
    <row r="883" ht="15.75" customHeight="1" spans="10:10">
      <c r="J883" s="34"/>
    </row>
    <row r="884" ht="15.75" customHeight="1" spans="10:10">
      <c r="J884" s="34"/>
    </row>
    <row r="885" ht="15.75" customHeight="1" spans="10:10">
      <c r="J885" s="34"/>
    </row>
    <row r="886" ht="15.75" customHeight="1" spans="10:10">
      <c r="J886" s="34"/>
    </row>
    <row r="887" ht="15.75" customHeight="1" spans="10:10">
      <c r="J887" s="34"/>
    </row>
    <row r="888" ht="15.75" customHeight="1" spans="10:10">
      <c r="J888" s="34"/>
    </row>
    <row r="889" ht="15.75" customHeight="1" spans="10:10">
      <c r="J889" s="34"/>
    </row>
    <row r="890" ht="15.75" customHeight="1" spans="10:10">
      <c r="J890" s="34"/>
    </row>
    <row r="891" ht="15.75" customHeight="1" spans="10:10">
      <c r="J891" s="34"/>
    </row>
    <row r="892" ht="15.75" customHeight="1" spans="10:10">
      <c r="J892" s="34"/>
    </row>
    <row r="893" ht="15.75" customHeight="1" spans="10:10">
      <c r="J893" s="34"/>
    </row>
    <row r="894" ht="15.75" customHeight="1" spans="10:10">
      <c r="J894" s="34"/>
    </row>
    <row r="895" ht="15.75" customHeight="1" spans="10:10">
      <c r="J895" s="34"/>
    </row>
    <row r="896" ht="15.75" customHeight="1" spans="10:10">
      <c r="J896" s="34"/>
    </row>
    <row r="897" ht="15.75" customHeight="1" spans="10:10">
      <c r="J897" s="34"/>
    </row>
    <row r="898" ht="15.75" customHeight="1" spans="10:10">
      <c r="J898" s="34"/>
    </row>
    <row r="899" ht="15.75" customHeight="1" spans="10:10">
      <c r="J899" s="34"/>
    </row>
    <row r="900" ht="15.75" customHeight="1" spans="10:10">
      <c r="J900" s="34"/>
    </row>
    <row r="901" ht="15.75" customHeight="1" spans="10:10">
      <c r="J901" s="34"/>
    </row>
    <row r="902" ht="15.75" customHeight="1" spans="10:10">
      <c r="J902" s="34"/>
    </row>
    <row r="903" ht="15.75" customHeight="1" spans="10:10">
      <c r="J903" s="34"/>
    </row>
    <row r="904" ht="15.75" customHeight="1" spans="10:10">
      <c r="J904" s="34"/>
    </row>
    <row r="905" ht="15.75" customHeight="1" spans="10:10">
      <c r="J905" s="34"/>
    </row>
    <row r="906" ht="15.75" customHeight="1" spans="10:10">
      <c r="J906" s="34"/>
    </row>
    <row r="907" ht="15.75" customHeight="1" spans="10:10">
      <c r="J907" s="34"/>
    </row>
    <row r="908" ht="15.75" customHeight="1" spans="10:10">
      <c r="J908" s="34"/>
    </row>
    <row r="909" ht="15.75" customHeight="1" spans="10:10">
      <c r="J909" s="34"/>
    </row>
    <row r="910" ht="15.75" customHeight="1" spans="10:10">
      <c r="J910" s="34"/>
    </row>
    <row r="911" ht="15.75" customHeight="1" spans="10:10">
      <c r="J911" s="34"/>
    </row>
    <row r="912" ht="15.75" customHeight="1" spans="10:10">
      <c r="J912" s="34"/>
    </row>
    <row r="913" ht="15.75" customHeight="1" spans="10:10">
      <c r="J913" s="34"/>
    </row>
    <row r="914" ht="15.75" customHeight="1" spans="10:10">
      <c r="J914" s="34"/>
    </row>
    <row r="915" ht="15.75" customHeight="1" spans="10:10">
      <c r="J915" s="34"/>
    </row>
    <row r="916" ht="15.75" customHeight="1" spans="10:10">
      <c r="J916" s="34"/>
    </row>
    <row r="917" ht="15.75" customHeight="1" spans="10:10">
      <c r="J917" s="34"/>
    </row>
    <row r="918" ht="15.75" customHeight="1" spans="10:10">
      <c r="J918" s="34"/>
    </row>
    <row r="919" ht="15.75" customHeight="1" spans="10:10">
      <c r="J919" s="34"/>
    </row>
    <row r="920" ht="15.75" customHeight="1" spans="10:10">
      <c r="J920" s="34"/>
    </row>
    <row r="921" ht="15.75" customHeight="1" spans="10:10">
      <c r="J921" s="34"/>
    </row>
    <row r="922" ht="15.75" customHeight="1" spans="10:10">
      <c r="J922" s="34"/>
    </row>
    <row r="923" ht="15.75" customHeight="1" spans="10:10">
      <c r="J923" s="34"/>
    </row>
    <row r="924" ht="15.75" customHeight="1" spans="10:10">
      <c r="J924" s="34"/>
    </row>
    <row r="925" ht="15.75" customHeight="1" spans="10:10">
      <c r="J925" s="34"/>
    </row>
    <row r="926" ht="15.75" customHeight="1" spans="10:10">
      <c r="J926" s="34"/>
    </row>
    <row r="927" ht="15.75" customHeight="1" spans="10:10">
      <c r="J927" s="34"/>
    </row>
    <row r="928" ht="15.75" customHeight="1" spans="10:10">
      <c r="J928" s="34"/>
    </row>
    <row r="929" ht="15.75" customHeight="1" spans="10:10">
      <c r="J929" s="34"/>
    </row>
    <row r="930" ht="15.75" customHeight="1" spans="10:10">
      <c r="J930" s="34"/>
    </row>
    <row r="931" ht="15.75" customHeight="1" spans="10:10">
      <c r="J931" s="34"/>
    </row>
    <row r="932" ht="15.75" customHeight="1" spans="10:10">
      <c r="J932" s="34"/>
    </row>
    <row r="933" ht="15.75" customHeight="1" spans="10:10">
      <c r="J933" s="34"/>
    </row>
    <row r="934" ht="15.75" customHeight="1" spans="10:10">
      <c r="J934" s="34"/>
    </row>
    <row r="935" ht="15.75" customHeight="1" spans="10:10">
      <c r="J935" s="34"/>
    </row>
    <row r="936" ht="15.75" customHeight="1" spans="10:10">
      <c r="J936" s="34"/>
    </row>
    <row r="937" ht="15.75" customHeight="1" spans="10:10">
      <c r="J937" s="34"/>
    </row>
    <row r="938" ht="15.75" customHeight="1" spans="10:10">
      <c r="J938" s="34"/>
    </row>
    <row r="939" ht="15.75" customHeight="1" spans="10:10">
      <c r="J939" s="34"/>
    </row>
    <row r="940" ht="15.75" customHeight="1" spans="10:10">
      <c r="J940" s="34"/>
    </row>
    <row r="941" ht="15.75" customHeight="1" spans="10:10">
      <c r="J941" s="34"/>
    </row>
    <row r="942" ht="15.75" customHeight="1" spans="10:10">
      <c r="J942" s="34"/>
    </row>
    <row r="943" ht="15.75" customHeight="1" spans="10:10">
      <c r="J943" s="34"/>
    </row>
    <row r="944" ht="15.75" customHeight="1" spans="10:10">
      <c r="J944" s="34"/>
    </row>
    <row r="945" ht="15.75" customHeight="1" spans="10:10">
      <c r="J945" s="34"/>
    </row>
    <row r="946" ht="15.75" customHeight="1" spans="10:10">
      <c r="J946" s="34"/>
    </row>
    <row r="947" ht="15.75" customHeight="1" spans="10:10">
      <c r="J947" s="34"/>
    </row>
    <row r="948" ht="15.75" customHeight="1" spans="10:10">
      <c r="J948" s="34"/>
    </row>
    <row r="949" ht="15.75" customHeight="1" spans="10:10">
      <c r="J949" s="34"/>
    </row>
    <row r="950" ht="15.75" customHeight="1" spans="10:10">
      <c r="J950" s="34"/>
    </row>
    <row r="951" ht="15.75" customHeight="1" spans="10:10">
      <c r="J951" s="34"/>
    </row>
    <row r="952" ht="15.75" customHeight="1" spans="10:10">
      <c r="J952" s="34"/>
    </row>
    <row r="953" ht="15.75" customHeight="1" spans="10:10">
      <c r="J953" s="34"/>
    </row>
    <row r="954" ht="15.75" customHeight="1" spans="10:10">
      <c r="J954" s="34"/>
    </row>
    <row r="955" ht="15.75" customHeight="1" spans="10:10">
      <c r="J955" s="34"/>
    </row>
    <row r="956" ht="15.75" customHeight="1" spans="10:10">
      <c r="J956" s="34"/>
    </row>
    <row r="957" ht="15.75" customHeight="1" spans="10:10">
      <c r="J957" s="34"/>
    </row>
    <row r="958" ht="15.75" customHeight="1" spans="10:10">
      <c r="J958" s="34"/>
    </row>
    <row r="959" ht="15.75" customHeight="1" spans="10:10">
      <c r="J959" s="34"/>
    </row>
    <row r="960" ht="15.75" customHeight="1" spans="10:10">
      <c r="J960" s="34"/>
    </row>
    <row r="961" ht="15.75" customHeight="1" spans="10:10">
      <c r="J961" s="34"/>
    </row>
    <row r="962" ht="15.75" customHeight="1" spans="10:10">
      <c r="J962" s="34"/>
    </row>
    <row r="963" ht="15.75" customHeight="1" spans="10:10">
      <c r="J963" s="34"/>
    </row>
    <row r="964" ht="15.75" customHeight="1" spans="10:10">
      <c r="J964" s="34"/>
    </row>
    <row r="965" ht="15.75" customHeight="1" spans="10:10">
      <c r="J965" s="34"/>
    </row>
    <row r="966" ht="15.75" customHeight="1" spans="10:10">
      <c r="J966" s="34"/>
    </row>
    <row r="967" ht="15.75" customHeight="1" spans="10:10">
      <c r="J967" s="34"/>
    </row>
    <row r="968" ht="15.75" customHeight="1" spans="10:10">
      <c r="J968" s="34"/>
    </row>
    <row r="969" ht="15.75" customHeight="1" spans="10:10">
      <c r="J969" s="34"/>
    </row>
    <row r="970" ht="15.75" customHeight="1" spans="10:10">
      <c r="J970" s="34"/>
    </row>
    <row r="971" ht="15.75" customHeight="1" spans="10:10">
      <c r="J971" s="34"/>
    </row>
    <row r="972" ht="15.75" customHeight="1" spans="10:10">
      <c r="J972" s="34"/>
    </row>
    <row r="973" ht="15.75" customHeight="1" spans="10:10">
      <c r="J973" s="34"/>
    </row>
    <row r="974" ht="15.75" customHeight="1" spans="10:10">
      <c r="J974" s="34"/>
    </row>
    <row r="975" ht="15.75" customHeight="1" spans="10:10">
      <c r="J975" s="34"/>
    </row>
    <row r="976" ht="15.75" customHeight="1" spans="10:10">
      <c r="J976" s="34"/>
    </row>
    <row r="977" ht="15.75" customHeight="1" spans="10:10">
      <c r="J977" s="34"/>
    </row>
    <row r="978" ht="15.75" customHeight="1" spans="10:10">
      <c r="J978" s="34"/>
    </row>
    <row r="979" ht="15.75" customHeight="1" spans="10:10">
      <c r="J979" s="34"/>
    </row>
    <row r="980" ht="15.75" customHeight="1" spans="10:10">
      <c r="J980" s="34"/>
    </row>
    <row r="981" ht="15.75" customHeight="1" spans="10:10">
      <c r="J981" s="34"/>
    </row>
    <row r="982" ht="15.75" customHeight="1" spans="10:10">
      <c r="J982" s="34"/>
    </row>
    <row r="983" ht="15.75" customHeight="1" spans="10:10">
      <c r="J983" s="34"/>
    </row>
    <row r="984" ht="15.75" customHeight="1" spans="10:10">
      <c r="J984" s="34"/>
    </row>
    <row r="985" ht="15.75" customHeight="1" spans="10:10">
      <c r="J985" s="34"/>
    </row>
    <row r="986" ht="15.75" customHeight="1" spans="10:10">
      <c r="J986" s="34"/>
    </row>
    <row r="987" ht="15.75" customHeight="1" spans="10:10">
      <c r="J987" s="34"/>
    </row>
    <row r="988" ht="15.75" customHeight="1" spans="10:10">
      <c r="J988" s="34"/>
    </row>
    <row r="989" ht="15.75" customHeight="1" spans="10:10">
      <c r="J989" s="34"/>
    </row>
    <row r="990" ht="15.75" customHeight="1" spans="10:10">
      <c r="J990" s="34"/>
    </row>
    <row r="991" ht="15.75" customHeight="1" spans="10:10">
      <c r="J991" s="34"/>
    </row>
    <row r="992" ht="15.75" customHeight="1" spans="10:10">
      <c r="J992" s="34"/>
    </row>
    <row r="993" ht="15.75" customHeight="1" spans="10:10">
      <c r="J993" s="34"/>
    </row>
    <row r="994" ht="15.75" customHeight="1" spans="10:10">
      <c r="J994" s="34"/>
    </row>
    <row r="995" ht="15.75" customHeight="1" spans="10:10">
      <c r="J995" s="34"/>
    </row>
    <row r="996" ht="15.75" customHeight="1" spans="10:10">
      <c r="J996" s="34"/>
    </row>
    <row r="997" ht="15.75" customHeight="1" spans="10:10">
      <c r="J997" s="34"/>
    </row>
    <row r="998" ht="15.75" customHeight="1" spans="10:10">
      <c r="J998" s="34"/>
    </row>
    <row r="999" ht="15.75" customHeight="1" spans="10:10">
      <c r="J999" s="34"/>
    </row>
    <row r="1000" ht="15.75" customHeight="1" spans="10:10">
      <c r="J1000" s="34"/>
    </row>
    <row r="1001" ht="15.75" customHeight="1" spans="10:10">
      <c r="J1001" s="34"/>
    </row>
    <row r="1002" ht="15.75" customHeight="1" spans="10:10">
      <c r="J1002" s="34"/>
    </row>
    <row r="1003" ht="15.75" customHeight="1" spans="10:10">
      <c r="J1003" s="34"/>
    </row>
    <row r="1004" ht="15.75" customHeight="1" spans="10:10">
      <c r="J1004" s="34"/>
    </row>
    <row r="1005" ht="15.75" customHeight="1" spans="10:10">
      <c r="J1005" s="34"/>
    </row>
    <row r="1006" ht="15.75" customHeight="1" spans="10:10">
      <c r="J1006" s="34"/>
    </row>
    <row r="1007" ht="15.75" customHeight="1" spans="10:10">
      <c r="J1007" s="34"/>
    </row>
    <row r="1008" ht="15.75" customHeight="1" spans="10:10">
      <c r="J1008" s="34"/>
    </row>
    <row r="1009" ht="15.75" customHeight="1" spans="10:10">
      <c r="J1009" s="34"/>
    </row>
    <row r="1010" ht="15.75" customHeight="1" spans="10:10">
      <c r="J1010" s="34"/>
    </row>
    <row r="1011" ht="15.75" customHeight="1" spans="10:10">
      <c r="J1011" s="34"/>
    </row>
    <row r="1012" ht="15.75" customHeight="1" spans="10:10">
      <c r="J1012" s="34"/>
    </row>
    <row r="1013" ht="15.75" customHeight="1" spans="10:10">
      <c r="J1013" s="34"/>
    </row>
    <row r="1014" ht="15.75" customHeight="1" spans="10:10">
      <c r="J1014" s="34"/>
    </row>
    <row r="1015" ht="15.75" customHeight="1" spans="10:10">
      <c r="J1015" s="34"/>
    </row>
    <row r="1016" ht="15.75" customHeight="1" spans="10:10">
      <c r="J1016" s="34"/>
    </row>
    <row r="1017" ht="15.75" customHeight="1" spans="10:10">
      <c r="J1017" s="34"/>
    </row>
    <row r="1018" ht="15.75" customHeight="1" spans="10:10">
      <c r="J1018" s="34"/>
    </row>
    <row r="1019" ht="15.75" customHeight="1" spans="10:10">
      <c r="J1019" s="34"/>
    </row>
    <row r="1020" ht="15.75" customHeight="1" spans="10:10">
      <c r="J1020" s="34"/>
    </row>
    <row r="1021" ht="15.75" customHeight="1" spans="10:10">
      <c r="J1021" s="34"/>
    </row>
    <row r="1022" ht="15.75" customHeight="1" spans="10:10">
      <c r="J1022" s="34"/>
    </row>
    <row r="1023" ht="15.75" customHeight="1" spans="10:10">
      <c r="J1023" s="34"/>
    </row>
    <row r="1024" ht="15.75" customHeight="1" spans="10:10">
      <c r="J1024" s="34"/>
    </row>
    <row r="1025" ht="15.75" customHeight="1" spans="10:10">
      <c r="J1025" s="34"/>
    </row>
    <row r="1026" ht="15.75" customHeight="1" spans="10:10">
      <c r="J1026" s="34"/>
    </row>
    <row r="1027" ht="15.75" customHeight="1" spans="10:10">
      <c r="J1027" s="34"/>
    </row>
    <row r="1028" ht="15.75" customHeight="1" spans="10:10">
      <c r="J1028" s="34"/>
    </row>
    <row r="1029" ht="15.75" customHeight="1" spans="10:10">
      <c r="J1029" s="34"/>
    </row>
    <row r="1030" ht="15.75" customHeight="1" spans="10:10">
      <c r="J1030" s="34"/>
    </row>
    <row r="1031" ht="15.75" customHeight="1" spans="10:10">
      <c r="J1031" s="34"/>
    </row>
    <row r="1032" ht="15.75" customHeight="1" spans="10:10">
      <c r="J1032" s="34"/>
    </row>
    <row r="1033" ht="15.75" customHeight="1" spans="10:10">
      <c r="J1033" s="34"/>
    </row>
    <row r="1034" ht="15.75" customHeight="1" spans="10:10">
      <c r="J1034" s="34"/>
    </row>
    <row r="1035" ht="15.75" customHeight="1" spans="10:10">
      <c r="J1035" s="34"/>
    </row>
    <row r="1036" ht="15.75" customHeight="1" spans="10:10">
      <c r="J1036" s="34"/>
    </row>
    <row r="1037" ht="15.75" customHeight="1" spans="10:10">
      <c r="J1037" s="34"/>
    </row>
    <row r="1038" ht="15.75" customHeight="1" spans="10:10">
      <c r="J1038" s="34"/>
    </row>
    <row r="1039" ht="15.75" customHeight="1" spans="10:10">
      <c r="J1039" s="34"/>
    </row>
    <row r="1040" ht="15.75" customHeight="1" spans="10:10">
      <c r="J1040" s="34"/>
    </row>
    <row r="1041" ht="15.75" customHeight="1" spans="10:10">
      <c r="J1041" s="34"/>
    </row>
    <row r="1042" ht="15.75" customHeight="1" spans="10:10">
      <c r="J1042" s="34"/>
    </row>
    <row r="1043" ht="15.75" customHeight="1" spans="10:10">
      <c r="J1043" s="34"/>
    </row>
    <row r="1044" ht="15.75" customHeight="1" spans="10:10">
      <c r="J1044" s="34"/>
    </row>
    <row r="1045" ht="15.75" customHeight="1" spans="10:10">
      <c r="J1045" s="34"/>
    </row>
    <row r="1046" ht="15.75" customHeight="1" spans="10:10">
      <c r="J1046" s="34"/>
    </row>
    <row r="1047" ht="15.75" customHeight="1" spans="10:10">
      <c r="J1047" s="34"/>
    </row>
    <row r="1048" ht="15.75" customHeight="1" spans="10:10">
      <c r="J1048" s="34"/>
    </row>
    <row r="1049" ht="15.75" customHeight="1" spans="10:10">
      <c r="J1049" s="34"/>
    </row>
    <row r="1050" ht="15.75" customHeight="1" spans="10:10">
      <c r="J1050" s="34"/>
    </row>
    <row r="1051" ht="15.75" customHeight="1" spans="10:10">
      <c r="J1051" s="34"/>
    </row>
    <row r="1052" ht="15.75" customHeight="1" spans="10:10">
      <c r="J1052" s="34"/>
    </row>
    <row r="1053" ht="15.75" customHeight="1" spans="10:10">
      <c r="J1053" s="34"/>
    </row>
    <row r="1054" ht="15.75" customHeight="1" spans="10:10">
      <c r="J1054" s="34"/>
    </row>
    <row r="1055" ht="15.75" customHeight="1" spans="10:10">
      <c r="J1055" s="34"/>
    </row>
    <row r="1056" ht="15.75" customHeight="1" spans="10:10">
      <c r="J1056" s="34"/>
    </row>
    <row r="1057" ht="15.75" customHeight="1" spans="10:10">
      <c r="J1057" s="34"/>
    </row>
    <row r="1058" ht="15.75" customHeight="1" spans="10:10">
      <c r="J1058" s="34"/>
    </row>
    <row r="1059" ht="15.75" customHeight="1" spans="10:10">
      <c r="J1059" s="34"/>
    </row>
    <row r="1060" ht="15.75" customHeight="1" spans="10:10">
      <c r="J1060" s="34"/>
    </row>
    <row r="1061" ht="15.75" customHeight="1" spans="10:10">
      <c r="J1061" s="34"/>
    </row>
    <row r="1062" ht="15.75" customHeight="1" spans="10:10">
      <c r="J1062" s="34"/>
    </row>
    <row r="1063" ht="15.75" customHeight="1" spans="10:10">
      <c r="J1063" s="34"/>
    </row>
    <row r="1064" ht="15.75" customHeight="1" spans="10:10">
      <c r="J1064" s="34"/>
    </row>
    <row r="1065" ht="15.75" customHeight="1" spans="10:10">
      <c r="J1065" s="34"/>
    </row>
    <row r="1066" ht="15.75" customHeight="1" spans="10:10">
      <c r="J1066" s="34"/>
    </row>
    <row r="1067" ht="15.75" customHeight="1" spans="10:10">
      <c r="J1067" s="34"/>
    </row>
    <row r="1068" ht="15.75" customHeight="1" spans="10:10">
      <c r="J1068" s="34"/>
    </row>
    <row r="1069" ht="15.75" customHeight="1" spans="10:10">
      <c r="J1069" s="34"/>
    </row>
    <row r="1070" ht="15.75" customHeight="1" spans="10:10">
      <c r="J1070" s="34"/>
    </row>
    <row r="1071" ht="15.75" customHeight="1" spans="10:10">
      <c r="J1071" s="34"/>
    </row>
    <row r="1072" ht="15.75" customHeight="1" spans="10:10">
      <c r="J1072" s="34"/>
    </row>
    <row r="1073" ht="15.75" customHeight="1" spans="10:10">
      <c r="J1073" s="34"/>
    </row>
    <row r="1074" ht="15.75" customHeight="1" spans="10:10">
      <c r="J1074" s="34"/>
    </row>
    <row r="1075" ht="15.75" customHeight="1" spans="10:10">
      <c r="J1075" s="34"/>
    </row>
    <row r="1076" ht="15.75" customHeight="1" spans="10:10">
      <c r="J1076" s="34"/>
    </row>
    <row r="1077" ht="15.75" customHeight="1" spans="10:10">
      <c r="J1077" s="34"/>
    </row>
    <row r="1078" ht="15.75" customHeight="1" spans="10:10">
      <c r="J1078" s="34"/>
    </row>
    <row r="1079" ht="15.75" customHeight="1" spans="10:10">
      <c r="J1079" s="34"/>
    </row>
    <row r="1080" ht="15.75" customHeight="1" spans="10:10">
      <c r="J1080" s="34"/>
    </row>
    <row r="1081" ht="15.75" customHeight="1" spans="10:10">
      <c r="J1081" s="34"/>
    </row>
    <row r="1082" ht="15.75" customHeight="1" spans="10:10">
      <c r="J1082" s="34"/>
    </row>
    <row r="1083" ht="15.75" customHeight="1" spans="10:10">
      <c r="J1083" s="34"/>
    </row>
    <row r="1084" ht="15.75" customHeight="1" spans="10:10">
      <c r="J1084" s="34"/>
    </row>
    <row r="1085" ht="15.75" customHeight="1" spans="10:10">
      <c r="J1085" s="34"/>
    </row>
    <row r="1086" ht="15.75" customHeight="1" spans="10:10">
      <c r="J1086" s="34"/>
    </row>
    <row r="1087" ht="15.75" customHeight="1" spans="10:10">
      <c r="J1087" s="34"/>
    </row>
    <row r="1088" ht="15.75" customHeight="1" spans="10:10">
      <c r="J1088" s="34"/>
    </row>
    <row r="1089" ht="15.75" customHeight="1" spans="10:10">
      <c r="J1089" s="34"/>
    </row>
    <row r="1090" ht="15.75" customHeight="1" spans="10:10">
      <c r="J1090" s="34"/>
    </row>
    <row r="1091" ht="15.75" customHeight="1" spans="10:10">
      <c r="J1091" s="34"/>
    </row>
    <row r="1092" ht="15.75" customHeight="1" spans="10:10">
      <c r="J1092" s="34"/>
    </row>
    <row r="1093" ht="15.75" customHeight="1" spans="10:10">
      <c r="J1093" s="34"/>
    </row>
    <row r="1094" ht="15.75" customHeight="1" spans="10:10">
      <c r="J1094" s="34"/>
    </row>
    <row r="1095" ht="15.75" customHeight="1" spans="10:10">
      <c r="J1095" s="34"/>
    </row>
    <row r="1096" ht="15.75" customHeight="1" spans="10:10">
      <c r="J1096" s="34"/>
    </row>
    <row r="1097" ht="15.75" customHeight="1" spans="10:10">
      <c r="J1097" s="34"/>
    </row>
    <row r="1098" ht="15.75" customHeight="1" spans="10:10">
      <c r="J1098" s="34"/>
    </row>
    <row r="1099" ht="15.75" customHeight="1" spans="10:10">
      <c r="J1099" s="34"/>
    </row>
    <row r="1100" ht="15.75" customHeight="1" spans="10:10">
      <c r="J1100" s="34"/>
    </row>
    <row r="1101" ht="15.75" customHeight="1" spans="10:10">
      <c r="J1101" s="34"/>
    </row>
    <row r="1102" ht="15.75" customHeight="1" spans="10:10">
      <c r="J1102" s="34"/>
    </row>
    <row r="1103" ht="15.75" customHeight="1" spans="10:10">
      <c r="J1103" s="34"/>
    </row>
    <row r="1104" ht="15.75" customHeight="1" spans="10:10">
      <c r="J1104" s="34"/>
    </row>
    <row r="1105" ht="15.75" customHeight="1" spans="10:10">
      <c r="J1105" s="34"/>
    </row>
    <row r="1106" ht="15.75" customHeight="1" spans="10:10">
      <c r="J1106" s="34"/>
    </row>
    <row r="1107" ht="15.75" customHeight="1" spans="10:10">
      <c r="J1107" s="34"/>
    </row>
    <row r="1108" ht="15.75" customHeight="1" spans="10:10">
      <c r="J1108" s="34"/>
    </row>
    <row r="1109" ht="15.75" customHeight="1" spans="10:10">
      <c r="J1109" s="34"/>
    </row>
    <row r="1110" ht="15.75" customHeight="1" spans="10:10">
      <c r="J1110" s="34"/>
    </row>
    <row r="1111" ht="15.75" customHeight="1" spans="10:10">
      <c r="J1111" s="34"/>
    </row>
    <row r="1112" ht="15.75" customHeight="1" spans="10:10">
      <c r="J1112" s="34"/>
    </row>
    <row r="1113" ht="15.75" customHeight="1" spans="10:10">
      <c r="J1113" s="34"/>
    </row>
    <row r="1114" ht="15.75" customHeight="1" spans="10:10">
      <c r="J1114" s="34"/>
    </row>
    <row r="1115" ht="15.75" customHeight="1" spans="10:10">
      <c r="J1115" s="34"/>
    </row>
    <row r="1116" ht="15.75" customHeight="1" spans="10:10">
      <c r="J1116" s="34"/>
    </row>
    <row r="1117" ht="15.75" customHeight="1" spans="10:10">
      <c r="J1117" s="34"/>
    </row>
    <row r="1118" ht="15.75" customHeight="1" spans="10:10">
      <c r="J1118" s="34"/>
    </row>
    <row r="1119" ht="15.75" customHeight="1" spans="10:10">
      <c r="J1119" s="34"/>
    </row>
    <row r="1120" ht="15.75" customHeight="1" spans="10:10">
      <c r="J1120" s="34"/>
    </row>
    <row r="1121" ht="15.75" customHeight="1" spans="10:10">
      <c r="J1121" s="34"/>
    </row>
    <row r="1122" ht="15.75" customHeight="1" spans="10:10">
      <c r="J1122" s="34"/>
    </row>
    <row r="1123" ht="15.75" customHeight="1" spans="10:10">
      <c r="J1123" s="34"/>
    </row>
    <row r="1124" ht="15.75" customHeight="1" spans="10:10">
      <c r="J1124" s="34"/>
    </row>
    <row r="1125" ht="15.75" customHeight="1" spans="10:10">
      <c r="J1125" s="34"/>
    </row>
    <row r="1126" ht="15.75" customHeight="1" spans="10:10">
      <c r="J1126" s="34"/>
    </row>
    <row r="1127" ht="15.75" customHeight="1" spans="10:10">
      <c r="J1127" s="34"/>
    </row>
  </sheetData>
  <pageMargins left="0.7" right="0.7" top="0.75" bottom="0.75" header="0" footer="0"/>
  <pageSetup paperSize="1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01"/>
  <sheetViews>
    <sheetView workbookViewId="0">
      <selection activeCell="C8" sqref="C8"/>
    </sheetView>
  </sheetViews>
  <sheetFormatPr defaultColWidth="14.4285714285714" defaultRowHeight="15" customHeight="1"/>
  <cols>
    <col min="1" max="2" width="39.2857142857143" customWidth="1"/>
    <col min="3" max="3" width="11.8571428571429" customWidth="1"/>
    <col min="4" max="4" width="12.8571428571429" customWidth="1"/>
    <col min="5" max="5" width="13.5714285714286" customWidth="1"/>
    <col min="6" max="6" width="11" customWidth="1"/>
    <col min="7" max="8" width="11.2857142857143" customWidth="1"/>
    <col min="9" max="9" width="13.4285714285714" customWidth="1"/>
    <col min="10" max="10" width="12.4285714285714" customWidth="1"/>
    <col min="11" max="11" width="7.71428571428571" customWidth="1"/>
    <col min="12" max="12" width="9.85714285714286" customWidth="1"/>
    <col min="13" max="13" width="20.7142857142857" customWidth="1"/>
    <col min="14" max="14" width="23.7142857142857" customWidth="1"/>
    <col min="15" max="15" width="82.4285714285714" customWidth="1"/>
    <col min="16" max="29" width="8.71428571428571" customWidth="1"/>
  </cols>
  <sheetData>
    <row r="1" customHeight="1" spans="1:29">
      <c r="A1" s="8" t="s">
        <v>0</v>
      </c>
      <c r="B1" s="9" t="s">
        <v>10</v>
      </c>
      <c r="C1" s="10" t="s">
        <v>432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16</v>
      </c>
      <c r="I1" s="17" t="s">
        <v>17</v>
      </c>
      <c r="J1" s="10" t="s">
        <v>15</v>
      </c>
      <c r="K1" s="10" t="s">
        <v>433</v>
      </c>
      <c r="L1" s="10" t="s">
        <v>18</v>
      </c>
      <c r="M1" s="10" t="s">
        <v>19</v>
      </c>
      <c r="N1" s="10" t="s">
        <v>22</v>
      </c>
      <c r="O1" s="10" t="s">
        <v>434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customHeight="1" spans="1:29">
      <c r="A2" s="11" t="s">
        <v>44</v>
      </c>
      <c r="B2" s="12">
        <f>C2/D2</f>
        <v>225496.789473684</v>
      </c>
      <c r="C2" s="13">
        <v>4284439</v>
      </c>
      <c r="D2" s="14">
        <v>19</v>
      </c>
      <c r="E2" s="14">
        <v>0</v>
      </c>
      <c r="F2" s="14">
        <v>19</v>
      </c>
      <c r="G2" s="15">
        <v>45292</v>
      </c>
      <c r="H2" s="15" t="str">
        <f>TEXT(G2,"mmmm")</f>
        <v>January</v>
      </c>
      <c r="I2" s="18">
        <f>YEAR(G2)</f>
        <v>2024</v>
      </c>
      <c r="J2" s="19" t="s">
        <v>46</v>
      </c>
      <c r="K2" s="14">
        <v>1</v>
      </c>
      <c r="L2" s="19" t="s">
        <v>38</v>
      </c>
      <c r="M2" s="19" t="s">
        <v>47</v>
      </c>
      <c r="N2" s="15">
        <v>45261</v>
      </c>
      <c r="O2" s="20" t="s">
        <v>435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customHeight="1" spans="1:29">
      <c r="A3" s="11" t="s">
        <v>59</v>
      </c>
      <c r="B3" s="12">
        <f t="shared" ref="B3:B7" si="0">C3/D3</f>
        <v>225000</v>
      </c>
      <c r="C3" s="13">
        <v>1125000</v>
      </c>
      <c r="D3" s="14">
        <v>5</v>
      </c>
      <c r="E3" s="14">
        <v>0</v>
      </c>
      <c r="F3" s="14">
        <v>5</v>
      </c>
      <c r="G3" s="15">
        <v>45327</v>
      </c>
      <c r="H3" s="15" t="str">
        <f t="shared" ref="H3:H7" si="1">TEXT(G3,"mmmm")</f>
        <v>February</v>
      </c>
      <c r="I3" s="18">
        <f t="shared" ref="I3:I7" si="2">YEAR(G3)</f>
        <v>2024</v>
      </c>
      <c r="J3" s="15">
        <v>45477</v>
      </c>
      <c r="K3" s="14">
        <v>2</v>
      </c>
      <c r="L3" s="19" t="s">
        <v>29</v>
      </c>
      <c r="M3" s="19" t="s">
        <v>30</v>
      </c>
      <c r="N3" s="15">
        <v>45265</v>
      </c>
      <c r="O3" s="20" t="s">
        <v>435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customHeight="1" spans="1:29">
      <c r="A4" s="11" t="s">
        <v>55</v>
      </c>
      <c r="B4" s="12">
        <f t="shared" si="0"/>
        <v>32138.3076923077</v>
      </c>
      <c r="C4" s="13">
        <v>2088990</v>
      </c>
      <c r="D4" s="14">
        <v>65</v>
      </c>
      <c r="E4" s="14">
        <v>0</v>
      </c>
      <c r="F4" s="14">
        <v>65</v>
      </c>
      <c r="G4" s="15">
        <v>45362</v>
      </c>
      <c r="H4" s="15" t="str">
        <f t="shared" si="1"/>
        <v>March</v>
      </c>
      <c r="I4" s="18">
        <f t="shared" si="2"/>
        <v>2024</v>
      </c>
      <c r="J4" s="15">
        <v>45636</v>
      </c>
      <c r="K4" s="14">
        <v>3</v>
      </c>
      <c r="L4" s="19" t="s">
        <v>29</v>
      </c>
      <c r="M4" s="19" t="s">
        <v>51</v>
      </c>
      <c r="N4" s="15">
        <v>45323</v>
      </c>
      <c r="O4" s="20" t="s">
        <v>435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customHeight="1" spans="1:29">
      <c r="A5" s="11" t="s">
        <v>44</v>
      </c>
      <c r="B5" s="12">
        <f t="shared" si="0"/>
        <v>470236.894736842</v>
      </c>
      <c r="C5" s="13">
        <v>8934501</v>
      </c>
      <c r="D5" s="14">
        <v>19</v>
      </c>
      <c r="E5" s="14">
        <v>0</v>
      </c>
      <c r="F5" s="14">
        <v>19</v>
      </c>
      <c r="G5" s="15">
        <v>45474</v>
      </c>
      <c r="H5" s="15" t="str">
        <f t="shared" si="1"/>
        <v>July</v>
      </c>
      <c r="I5" s="18">
        <f t="shared" si="2"/>
        <v>2024</v>
      </c>
      <c r="J5" s="15">
        <v>45838</v>
      </c>
      <c r="K5" s="14">
        <v>7</v>
      </c>
      <c r="L5" s="19" t="s">
        <v>38</v>
      </c>
      <c r="M5" s="19" t="s">
        <v>135</v>
      </c>
      <c r="N5" s="21"/>
      <c r="O5" s="22" t="s">
        <v>435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customHeight="1" spans="1:29">
      <c r="A6" s="11" t="s">
        <v>59</v>
      </c>
      <c r="B6" s="12">
        <f t="shared" si="0"/>
        <v>237013</v>
      </c>
      <c r="C6" s="13">
        <v>1185065</v>
      </c>
      <c r="D6" s="14">
        <v>5</v>
      </c>
      <c r="E6" s="14">
        <v>0</v>
      </c>
      <c r="F6" s="14">
        <v>5</v>
      </c>
      <c r="G6" s="15">
        <v>45536</v>
      </c>
      <c r="H6" s="15" t="str">
        <f t="shared" si="1"/>
        <v>September</v>
      </c>
      <c r="I6" s="18">
        <f t="shared" si="2"/>
        <v>2024</v>
      </c>
      <c r="J6" s="15">
        <v>45716</v>
      </c>
      <c r="K6" s="14">
        <v>9</v>
      </c>
      <c r="L6" s="19" t="s">
        <v>29</v>
      </c>
      <c r="M6" s="19" t="s">
        <v>30</v>
      </c>
      <c r="N6" s="21"/>
      <c r="O6" s="22" t="s">
        <v>435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customHeight="1" spans="1:29">
      <c r="A7" s="11" t="s">
        <v>125</v>
      </c>
      <c r="B7" s="12">
        <f t="shared" si="0"/>
        <v>42887.3596986817</v>
      </c>
      <c r="C7" s="13">
        <v>45546376</v>
      </c>
      <c r="D7" s="14">
        <v>1062</v>
      </c>
      <c r="E7" s="14">
        <v>0</v>
      </c>
      <c r="F7" s="14">
        <v>1062</v>
      </c>
      <c r="G7" s="15">
        <v>45536</v>
      </c>
      <c r="H7" s="15" t="str">
        <f t="shared" si="1"/>
        <v>September</v>
      </c>
      <c r="I7" s="18">
        <f t="shared" si="2"/>
        <v>2024</v>
      </c>
      <c r="J7" s="15">
        <v>45657</v>
      </c>
      <c r="K7" s="14">
        <v>9</v>
      </c>
      <c r="L7" s="19" t="s">
        <v>29</v>
      </c>
      <c r="M7" s="19" t="s">
        <v>114</v>
      </c>
      <c r="N7" s="21"/>
      <c r="O7" s="22" t="s">
        <v>435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customHeight="1" spans="1:29">
      <c r="A8" s="16"/>
      <c r="B8" s="16"/>
      <c r="C8" s="16"/>
      <c r="D8" s="16"/>
      <c r="E8" s="16"/>
      <c r="F8" s="16"/>
      <c r="G8" s="16"/>
      <c r="H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customHeight="1" spans="1:29">
      <c r="A9" s="16"/>
      <c r="B9" s="16"/>
      <c r="C9" s="16"/>
      <c r="D9" s="16"/>
      <c r="E9" s="16"/>
      <c r="F9" s="16"/>
      <c r="G9" s="16"/>
      <c r="H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customHeight="1" spans="1:29">
      <c r="A10" s="16"/>
      <c r="B10" s="16"/>
      <c r="C10" s="16"/>
      <c r="D10" s="16"/>
      <c r="E10" s="16"/>
      <c r="F10" s="16"/>
      <c r="G10" s="16"/>
      <c r="H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customHeight="1" spans="1:29">
      <c r="A11" s="16"/>
      <c r="B11" s="16"/>
      <c r="C11" s="16"/>
      <c r="D11" s="16"/>
      <c r="E11" s="16"/>
      <c r="F11" s="16"/>
      <c r="G11" s="16"/>
      <c r="H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customHeight="1" spans="1:29">
      <c r="A12" s="16"/>
      <c r="B12" s="16"/>
      <c r="C12" s="16"/>
      <c r="D12" s="16"/>
      <c r="E12" s="16"/>
      <c r="F12" s="16"/>
      <c r="G12" s="16"/>
      <c r="H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customHeight="1" spans="1:29">
      <c r="A13" s="16"/>
      <c r="B13" s="16"/>
      <c r="C13" s="16"/>
      <c r="D13" s="16"/>
      <c r="E13" s="16"/>
      <c r="F13" s="16"/>
      <c r="G13" s="16"/>
      <c r="H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customHeight="1" spans="1:29">
      <c r="A14" s="16"/>
      <c r="B14" s="16"/>
      <c r="C14" s="16"/>
      <c r="D14" s="16"/>
      <c r="E14" s="16"/>
      <c r="F14" s="16"/>
      <c r="G14" s="16"/>
      <c r="H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customHeight="1" spans="1:29">
      <c r="A15" s="16"/>
      <c r="B15" s="16"/>
      <c r="C15" s="16"/>
      <c r="D15" s="16"/>
      <c r="E15" s="16"/>
      <c r="F15" s="16"/>
      <c r="G15" s="16"/>
      <c r="H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customHeight="1" spans="1:29">
      <c r="A16" s="16"/>
      <c r="B16" s="16"/>
      <c r="C16" s="16"/>
      <c r="D16" s="16"/>
      <c r="E16" s="16"/>
      <c r="F16" s="16"/>
      <c r="G16" s="16"/>
      <c r="H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customHeight="1" spans="1:29">
      <c r="A17" s="16"/>
      <c r="B17" s="16"/>
      <c r="C17" s="16"/>
      <c r="D17" s="16"/>
      <c r="E17" s="16"/>
      <c r="F17" s="16"/>
      <c r="G17" s="16"/>
      <c r="H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customHeight="1" spans="1:29">
      <c r="A18" s="16"/>
      <c r="B18" s="16"/>
      <c r="C18" s="16"/>
      <c r="D18" s="16"/>
      <c r="E18" s="16"/>
      <c r="F18" s="16"/>
      <c r="G18" s="16"/>
      <c r="H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customHeight="1" spans="1:29">
      <c r="A19" s="16"/>
      <c r="B19" s="16"/>
      <c r="C19" s="16"/>
      <c r="D19" s="16"/>
      <c r="E19" s="16"/>
      <c r="F19" s="16"/>
      <c r="G19" s="16"/>
      <c r="H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customHeight="1" spans="1:29">
      <c r="A20" s="16"/>
      <c r="B20" s="16"/>
      <c r="C20" s="16"/>
      <c r="D20" s="16"/>
      <c r="E20" s="16"/>
      <c r="F20" s="16"/>
      <c r="G20" s="16"/>
      <c r="H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customHeight="1" spans="1:29">
      <c r="A21" s="16"/>
      <c r="B21" s="16"/>
      <c r="C21" s="16"/>
      <c r="D21" s="16"/>
      <c r="E21" s="16"/>
      <c r="F21" s="16"/>
      <c r="G21" s="16"/>
      <c r="H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customHeight="1" spans="1:29">
      <c r="A22" s="16"/>
      <c r="B22" s="16"/>
      <c r="C22" s="16"/>
      <c r="D22" s="16"/>
      <c r="E22" s="16"/>
      <c r="F22" s="16"/>
      <c r="G22" s="16"/>
      <c r="H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customHeight="1" spans="1:29">
      <c r="A23" s="16"/>
      <c r="B23" s="16"/>
      <c r="C23" s="16"/>
      <c r="D23" s="16"/>
      <c r="E23" s="16"/>
      <c r="F23" s="16"/>
      <c r="G23" s="16"/>
      <c r="H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customHeight="1" spans="1:29">
      <c r="A24" s="16"/>
      <c r="B24" s="16"/>
      <c r="C24" s="16"/>
      <c r="D24" s="16"/>
      <c r="E24" s="16"/>
      <c r="F24" s="16"/>
      <c r="G24" s="16"/>
      <c r="H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customHeight="1" spans="1:29">
      <c r="A25" s="16"/>
      <c r="B25" s="16"/>
      <c r="C25" s="16"/>
      <c r="D25" s="16"/>
      <c r="E25" s="16"/>
      <c r="F25" s="16"/>
      <c r="G25" s="16"/>
      <c r="H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customHeight="1" spans="1:29">
      <c r="A26" s="16"/>
      <c r="B26" s="16"/>
      <c r="C26" s="16"/>
      <c r="D26" s="16"/>
      <c r="E26" s="16"/>
      <c r="F26" s="16"/>
      <c r="G26" s="16"/>
      <c r="H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customHeight="1" spans="1:29">
      <c r="A27" s="16"/>
      <c r="B27" s="16"/>
      <c r="C27" s="16"/>
      <c r="D27" s="16"/>
      <c r="E27" s="16"/>
      <c r="F27" s="16"/>
      <c r="G27" s="16"/>
      <c r="H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customHeight="1" spans="1:29">
      <c r="A28" s="16"/>
      <c r="B28" s="16"/>
      <c r="C28" s="16"/>
      <c r="D28" s="16"/>
      <c r="E28" s="16"/>
      <c r="F28" s="16"/>
      <c r="G28" s="16"/>
      <c r="H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customHeight="1" spans="1:29">
      <c r="A29" s="16"/>
      <c r="B29" s="16"/>
      <c r="C29" s="16"/>
      <c r="D29" s="16"/>
      <c r="E29" s="16"/>
      <c r="F29" s="16"/>
      <c r="G29" s="16"/>
      <c r="H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customHeight="1" spans="1:29">
      <c r="A30" s="16"/>
      <c r="B30" s="16"/>
      <c r="C30" s="16"/>
      <c r="D30" s="16"/>
      <c r="E30" s="16"/>
      <c r="F30" s="16"/>
      <c r="G30" s="16"/>
      <c r="H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customHeight="1" spans="1:29">
      <c r="A31" s="16"/>
      <c r="B31" s="16"/>
      <c r="C31" s="16"/>
      <c r="D31" s="16"/>
      <c r="E31" s="16"/>
      <c r="F31" s="16"/>
      <c r="G31" s="16"/>
      <c r="H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customHeight="1" spans="1:29">
      <c r="A32" s="16"/>
      <c r="B32" s="16"/>
      <c r="C32" s="16"/>
      <c r="D32" s="16"/>
      <c r="E32" s="16"/>
      <c r="F32" s="16"/>
      <c r="G32" s="16"/>
      <c r="H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customHeight="1" spans="1:29">
      <c r="A33" s="16"/>
      <c r="B33" s="16"/>
      <c r="C33" s="16"/>
      <c r="D33" s="16"/>
      <c r="E33" s="16"/>
      <c r="F33" s="16"/>
      <c r="G33" s="16"/>
      <c r="H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customHeight="1" spans="1:29">
      <c r="A34" s="16"/>
      <c r="B34" s="16"/>
      <c r="C34" s="16"/>
      <c r="D34" s="16"/>
      <c r="E34" s="16"/>
      <c r="F34" s="16"/>
      <c r="G34" s="16"/>
      <c r="H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customHeight="1" spans="1:29">
      <c r="A35" s="16"/>
      <c r="B35" s="16"/>
      <c r="C35" s="16"/>
      <c r="D35" s="16"/>
      <c r="E35" s="16"/>
      <c r="F35" s="16"/>
      <c r="G35" s="16"/>
      <c r="H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customHeight="1" spans="1:29">
      <c r="A36" s="16"/>
      <c r="B36" s="16"/>
      <c r="C36" s="16"/>
      <c r="D36" s="16"/>
      <c r="E36" s="16"/>
      <c r="F36" s="16"/>
      <c r="G36" s="16"/>
      <c r="H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customHeight="1" spans="1:29">
      <c r="A37" s="16"/>
      <c r="B37" s="16"/>
      <c r="C37" s="16"/>
      <c r="D37" s="16"/>
      <c r="E37" s="16"/>
      <c r="F37" s="16"/>
      <c r="G37" s="16"/>
      <c r="H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customHeight="1" spans="1:29">
      <c r="A38" s="16"/>
      <c r="B38" s="16"/>
      <c r="C38" s="16"/>
      <c r="D38" s="16"/>
      <c r="E38" s="16"/>
      <c r="F38" s="16"/>
      <c r="G38" s="16"/>
      <c r="H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customHeight="1" spans="1:29">
      <c r="A39" s="16"/>
      <c r="B39" s="16"/>
      <c r="C39" s="16"/>
      <c r="D39" s="16"/>
      <c r="E39" s="16"/>
      <c r="F39" s="16"/>
      <c r="G39" s="16"/>
      <c r="H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customHeight="1" spans="1:29">
      <c r="A40" s="16"/>
      <c r="B40" s="16"/>
      <c r="C40" s="16"/>
      <c r="D40" s="16"/>
      <c r="E40" s="16"/>
      <c r="F40" s="16"/>
      <c r="G40" s="16"/>
      <c r="H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customHeight="1" spans="1:29">
      <c r="A41" s="16"/>
      <c r="B41" s="16"/>
      <c r="C41" s="16"/>
      <c r="D41" s="16"/>
      <c r="E41" s="16"/>
      <c r="F41" s="16"/>
      <c r="G41" s="16"/>
      <c r="H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customHeight="1" spans="1:29">
      <c r="A42" s="16"/>
      <c r="B42" s="16"/>
      <c r="C42" s="16"/>
      <c r="D42" s="16"/>
      <c r="E42" s="16"/>
      <c r="F42" s="16"/>
      <c r="G42" s="16"/>
      <c r="H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customHeight="1" spans="1:29">
      <c r="A43" s="16"/>
      <c r="B43" s="16"/>
      <c r="C43" s="16"/>
      <c r="D43" s="16"/>
      <c r="E43" s="16"/>
      <c r="F43" s="16"/>
      <c r="G43" s="16"/>
      <c r="H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customHeight="1" spans="1:29">
      <c r="A44" s="16"/>
      <c r="B44" s="16"/>
      <c r="C44" s="16"/>
      <c r="D44" s="16"/>
      <c r="E44" s="16"/>
      <c r="F44" s="16"/>
      <c r="G44" s="16"/>
      <c r="H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customHeight="1" spans="1:29">
      <c r="A45" s="16"/>
      <c r="B45" s="16"/>
      <c r="C45" s="16"/>
      <c r="D45" s="16"/>
      <c r="E45" s="16"/>
      <c r="F45" s="16"/>
      <c r="G45" s="16"/>
      <c r="H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customHeight="1" spans="1:29">
      <c r="A46" s="16"/>
      <c r="B46" s="16"/>
      <c r="C46" s="16"/>
      <c r="D46" s="16"/>
      <c r="E46" s="16"/>
      <c r="F46" s="16"/>
      <c r="G46" s="16"/>
      <c r="H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customHeight="1" spans="1:29">
      <c r="A47" s="16"/>
      <c r="B47" s="16"/>
      <c r="C47" s="16"/>
      <c r="D47" s="16"/>
      <c r="E47" s="16"/>
      <c r="F47" s="16"/>
      <c r="G47" s="16"/>
      <c r="H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customHeight="1" spans="1:29">
      <c r="A48" s="16"/>
      <c r="B48" s="16"/>
      <c r="C48" s="16"/>
      <c r="D48" s="16"/>
      <c r="E48" s="16"/>
      <c r="F48" s="16"/>
      <c r="G48" s="16"/>
      <c r="H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customHeight="1" spans="1:29">
      <c r="A49" s="16"/>
      <c r="B49" s="16"/>
      <c r="C49" s="16"/>
      <c r="D49" s="16"/>
      <c r="E49" s="16"/>
      <c r="F49" s="16"/>
      <c r="G49" s="16"/>
      <c r="H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customHeight="1" spans="1:29">
      <c r="A50" s="16"/>
      <c r="B50" s="16"/>
      <c r="C50" s="16"/>
      <c r="D50" s="16"/>
      <c r="E50" s="16"/>
      <c r="F50" s="16"/>
      <c r="G50" s="16"/>
      <c r="H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customHeight="1" spans="1:29">
      <c r="A51" s="16"/>
      <c r="B51" s="16"/>
      <c r="C51" s="16"/>
      <c r="D51" s="16"/>
      <c r="E51" s="16"/>
      <c r="F51" s="16"/>
      <c r="G51" s="16"/>
      <c r="H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customHeight="1" spans="1:29">
      <c r="A52" s="16"/>
      <c r="B52" s="16"/>
      <c r="C52" s="16"/>
      <c r="D52" s="16"/>
      <c r="E52" s="16"/>
      <c r="F52" s="16"/>
      <c r="G52" s="16"/>
      <c r="H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customHeight="1" spans="1:29">
      <c r="A53" s="16"/>
      <c r="B53" s="16"/>
      <c r="C53" s="16"/>
      <c r="D53" s="16"/>
      <c r="E53" s="16"/>
      <c r="F53" s="16"/>
      <c r="G53" s="16"/>
      <c r="H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customHeight="1" spans="1:29">
      <c r="A54" s="16"/>
      <c r="B54" s="16"/>
      <c r="C54" s="16"/>
      <c r="D54" s="16"/>
      <c r="E54" s="16"/>
      <c r="F54" s="16"/>
      <c r="G54" s="16"/>
      <c r="H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customHeight="1" spans="1:29">
      <c r="A55" s="16"/>
      <c r="B55" s="16"/>
      <c r="C55" s="16"/>
      <c r="D55" s="16"/>
      <c r="E55" s="16"/>
      <c r="F55" s="16"/>
      <c r="G55" s="16"/>
      <c r="H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customHeight="1" spans="1:29">
      <c r="A56" s="16"/>
      <c r="B56" s="16"/>
      <c r="C56" s="16"/>
      <c r="D56" s="16"/>
      <c r="E56" s="16"/>
      <c r="F56" s="16"/>
      <c r="G56" s="16"/>
      <c r="H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customHeight="1" spans="1:29">
      <c r="A57" s="16"/>
      <c r="B57" s="16"/>
      <c r="C57" s="16"/>
      <c r="D57" s="16"/>
      <c r="E57" s="16"/>
      <c r="F57" s="16"/>
      <c r="G57" s="16"/>
      <c r="H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customHeight="1" spans="1:29">
      <c r="A58" s="16"/>
      <c r="B58" s="16"/>
      <c r="C58" s="16"/>
      <c r="D58" s="16"/>
      <c r="E58" s="16"/>
      <c r="F58" s="16"/>
      <c r="G58" s="16"/>
      <c r="H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customHeight="1" spans="1:29">
      <c r="A59" s="16"/>
      <c r="B59" s="16"/>
      <c r="C59" s="16"/>
      <c r="D59" s="16"/>
      <c r="E59" s="16"/>
      <c r="F59" s="16"/>
      <c r="G59" s="16"/>
      <c r="H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customHeight="1" spans="1:29">
      <c r="A60" s="16"/>
      <c r="B60" s="16"/>
      <c r="C60" s="16"/>
      <c r="D60" s="16"/>
      <c r="E60" s="16"/>
      <c r="F60" s="16"/>
      <c r="G60" s="16"/>
      <c r="H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customHeight="1" spans="1:29">
      <c r="A61" s="16"/>
      <c r="B61" s="16"/>
      <c r="C61" s="16"/>
      <c r="D61" s="16"/>
      <c r="E61" s="16"/>
      <c r="F61" s="16"/>
      <c r="G61" s="16"/>
      <c r="H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customHeight="1" spans="1:29">
      <c r="A62" s="16"/>
      <c r="B62" s="16"/>
      <c r="C62" s="16"/>
      <c r="D62" s="16"/>
      <c r="E62" s="16"/>
      <c r="F62" s="16"/>
      <c r="G62" s="16"/>
      <c r="H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customHeight="1" spans="1:29">
      <c r="A63" s="16"/>
      <c r="B63" s="16"/>
      <c r="C63" s="16"/>
      <c r="D63" s="16"/>
      <c r="E63" s="16"/>
      <c r="F63" s="16"/>
      <c r="G63" s="16"/>
      <c r="H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customHeight="1" spans="1:29">
      <c r="A64" s="16"/>
      <c r="B64" s="16"/>
      <c r="C64" s="16"/>
      <c r="D64" s="16"/>
      <c r="E64" s="16"/>
      <c r="F64" s="16"/>
      <c r="G64" s="16"/>
      <c r="H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customHeight="1" spans="1:29">
      <c r="A65" s="16"/>
      <c r="B65" s="16"/>
      <c r="C65" s="16"/>
      <c r="D65" s="16"/>
      <c r="E65" s="16"/>
      <c r="F65" s="16"/>
      <c r="G65" s="16"/>
      <c r="H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customHeight="1" spans="1:29">
      <c r="A66" s="16"/>
      <c r="B66" s="16"/>
      <c r="C66" s="16"/>
      <c r="D66" s="16"/>
      <c r="E66" s="16"/>
      <c r="F66" s="16"/>
      <c r="G66" s="16"/>
      <c r="H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customHeight="1" spans="1:29">
      <c r="A67" s="16"/>
      <c r="B67" s="16"/>
      <c r="C67" s="16"/>
      <c r="D67" s="16"/>
      <c r="E67" s="16"/>
      <c r="F67" s="16"/>
      <c r="G67" s="16"/>
      <c r="H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customHeight="1" spans="1:29">
      <c r="A68" s="16"/>
      <c r="B68" s="16"/>
      <c r="C68" s="16"/>
      <c r="D68" s="16"/>
      <c r="E68" s="16"/>
      <c r="F68" s="16"/>
      <c r="G68" s="16"/>
      <c r="H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customHeight="1" spans="1:29">
      <c r="A69" s="16"/>
      <c r="B69" s="16"/>
      <c r="C69" s="16"/>
      <c r="D69" s="16"/>
      <c r="E69" s="16"/>
      <c r="F69" s="16"/>
      <c r="G69" s="16"/>
      <c r="H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customHeight="1" spans="1:29">
      <c r="A70" s="16"/>
      <c r="B70" s="16"/>
      <c r="C70" s="16"/>
      <c r="D70" s="16"/>
      <c r="E70" s="16"/>
      <c r="F70" s="16"/>
      <c r="G70" s="16"/>
      <c r="H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customHeight="1" spans="1:29">
      <c r="A71" s="16"/>
      <c r="B71" s="16"/>
      <c r="C71" s="16"/>
      <c r="D71" s="16"/>
      <c r="E71" s="16"/>
      <c r="F71" s="16"/>
      <c r="G71" s="16"/>
      <c r="H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customHeight="1" spans="1:29">
      <c r="A72" s="16"/>
      <c r="B72" s="16"/>
      <c r="C72" s="16"/>
      <c r="D72" s="16"/>
      <c r="E72" s="16"/>
      <c r="F72" s="16"/>
      <c r="G72" s="16"/>
      <c r="H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customHeight="1" spans="1:29">
      <c r="A73" s="16"/>
      <c r="B73" s="16"/>
      <c r="C73" s="16"/>
      <c r="D73" s="16"/>
      <c r="E73" s="16"/>
      <c r="F73" s="16"/>
      <c r="G73" s="16"/>
      <c r="H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customHeight="1" spans="1:29">
      <c r="A74" s="16"/>
      <c r="B74" s="16"/>
      <c r="C74" s="16"/>
      <c r="D74" s="16"/>
      <c r="E74" s="16"/>
      <c r="F74" s="16"/>
      <c r="G74" s="16"/>
      <c r="H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customHeight="1" spans="1:29">
      <c r="A75" s="16"/>
      <c r="B75" s="16"/>
      <c r="C75" s="16"/>
      <c r="D75" s="16"/>
      <c r="E75" s="16"/>
      <c r="F75" s="16"/>
      <c r="G75" s="16"/>
      <c r="H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customHeight="1" spans="1:29">
      <c r="A76" s="16"/>
      <c r="B76" s="16"/>
      <c r="C76" s="16"/>
      <c r="D76" s="16"/>
      <c r="E76" s="16"/>
      <c r="F76" s="16"/>
      <c r="G76" s="16"/>
      <c r="H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customHeight="1" spans="1:29">
      <c r="A77" s="16"/>
      <c r="B77" s="16"/>
      <c r="C77" s="16"/>
      <c r="D77" s="16"/>
      <c r="E77" s="16"/>
      <c r="F77" s="16"/>
      <c r="G77" s="16"/>
      <c r="H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customHeight="1" spans="1:29">
      <c r="A78" s="16"/>
      <c r="B78" s="16"/>
      <c r="C78" s="16"/>
      <c r="D78" s="16"/>
      <c r="E78" s="16"/>
      <c r="F78" s="16"/>
      <c r="G78" s="16"/>
      <c r="H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customHeight="1" spans="1:29">
      <c r="A79" s="16"/>
      <c r="B79" s="16"/>
      <c r="C79" s="16"/>
      <c r="D79" s="16"/>
      <c r="E79" s="16"/>
      <c r="F79" s="16"/>
      <c r="G79" s="16"/>
      <c r="H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customHeight="1" spans="1:29">
      <c r="A80" s="16"/>
      <c r="B80" s="16"/>
      <c r="C80" s="16"/>
      <c r="D80" s="16"/>
      <c r="E80" s="16"/>
      <c r="F80" s="16"/>
      <c r="G80" s="16"/>
      <c r="H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customHeight="1" spans="1:29">
      <c r="A81" s="16"/>
      <c r="B81" s="16"/>
      <c r="C81" s="16"/>
      <c r="D81" s="16"/>
      <c r="E81" s="16"/>
      <c r="F81" s="16"/>
      <c r="G81" s="16"/>
      <c r="H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customHeight="1" spans="1:29">
      <c r="A82" s="16"/>
      <c r="B82" s="16"/>
      <c r="C82" s="16"/>
      <c r="D82" s="16"/>
      <c r="E82" s="16"/>
      <c r="F82" s="16"/>
      <c r="G82" s="16"/>
      <c r="H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customHeight="1" spans="1:29">
      <c r="A83" s="16"/>
      <c r="B83" s="16"/>
      <c r="C83" s="16"/>
      <c r="D83" s="16"/>
      <c r="E83" s="16"/>
      <c r="F83" s="16"/>
      <c r="G83" s="16"/>
      <c r="H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customHeight="1" spans="1:29">
      <c r="A84" s="16"/>
      <c r="B84" s="16"/>
      <c r="C84" s="16"/>
      <c r="D84" s="16"/>
      <c r="E84" s="16"/>
      <c r="F84" s="16"/>
      <c r="G84" s="16"/>
      <c r="H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customHeight="1" spans="1:29">
      <c r="A85" s="16"/>
      <c r="B85" s="16"/>
      <c r="C85" s="16"/>
      <c r="D85" s="16"/>
      <c r="E85" s="16"/>
      <c r="F85" s="16"/>
      <c r="G85" s="16"/>
      <c r="H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customHeight="1" spans="1:29">
      <c r="A86" s="16"/>
      <c r="B86" s="16"/>
      <c r="C86" s="16"/>
      <c r="D86" s="16"/>
      <c r="E86" s="16"/>
      <c r="F86" s="16"/>
      <c r="G86" s="16"/>
      <c r="H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customHeight="1" spans="1:29">
      <c r="A87" s="16"/>
      <c r="B87" s="16"/>
      <c r="C87" s="16"/>
      <c r="D87" s="16"/>
      <c r="E87" s="16"/>
      <c r="F87" s="16"/>
      <c r="G87" s="16"/>
      <c r="H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customHeight="1" spans="1:29">
      <c r="A88" s="16"/>
      <c r="B88" s="16"/>
      <c r="C88" s="16"/>
      <c r="D88" s="16"/>
      <c r="E88" s="16"/>
      <c r="F88" s="16"/>
      <c r="G88" s="16"/>
      <c r="H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customHeight="1" spans="1:29">
      <c r="A89" s="16"/>
      <c r="B89" s="16"/>
      <c r="C89" s="16"/>
      <c r="D89" s="16"/>
      <c r="E89" s="16"/>
      <c r="F89" s="16"/>
      <c r="G89" s="16"/>
      <c r="H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customHeight="1" spans="1:29">
      <c r="A90" s="16"/>
      <c r="B90" s="16"/>
      <c r="C90" s="16"/>
      <c r="D90" s="16"/>
      <c r="E90" s="16"/>
      <c r="F90" s="16"/>
      <c r="G90" s="16"/>
      <c r="H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customHeight="1" spans="1:29">
      <c r="A91" s="16"/>
      <c r="B91" s="16"/>
      <c r="C91" s="16"/>
      <c r="D91" s="16"/>
      <c r="E91" s="16"/>
      <c r="F91" s="16"/>
      <c r="G91" s="16"/>
      <c r="H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customHeight="1" spans="1:29">
      <c r="A92" s="16"/>
      <c r="B92" s="16"/>
      <c r="C92" s="16"/>
      <c r="D92" s="16"/>
      <c r="E92" s="16"/>
      <c r="F92" s="16"/>
      <c r="G92" s="16"/>
      <c r="H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customHeight="1" spans="1:29">
      <c r="A93" s="16"/>
      <c r="B93" s="16"/>
      <c r="C93" s="16"/>
      <c r="D93" s="16"/>
      <c r="E93" s="16"/>
      <c r="F93" s="16"/>
      <c r="G93" s="16"/>
      <c r="H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customHeight="1" spans="1:29">
      <c r="A94" s="16"/>
      <c r="B94" s="16"/>
      <c r="C94" s="16"/>
      <c r="D94" s="16"/>
      <c r="E94" s="16"/>
      <c r="F94" s="16"/>
      <c r="G94" s="16"/>
      <c r="H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customHeight="1" spans="1:29">
      <c r="A95" s="16"/>
      <c r="B95" s="16"/>
      <c r="C95" s="16"/>
      <c r="D95" s="16"/>
      <c r="E95" s="16"/>
      <c r="F95" s="16"/>
      <c r="G95" s="16"/>
      <c r="H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customHeight="1" spans="1:29">
      <c r="A96" s="16"/>
      <c r="B96" s="16"/>
      <c r="C96" s="16"/>
      <c r="D96" s="16"/>
      <c r="E96" s="16"/>
      <c r="F96" s="16"/>
      <c r="G96" s="16"/>
      <c r="H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customHeight="1" spans="1:29">
      <c r="A97" s="16"/>
      <c r="B97" s="16"/>
      <c r="C97" s="16"/>
      <c r="D97" s="16"/>
      <c r="E97" s="16"/>
      <c r="F97" s="16"/>
      <c r="G97" s="16"/>
      <c r="H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customHeight="1" spans="1:29">
      <c r="A98" s="16"/>
      <c r="B98" s="16"/>
      <c r="C98" s="16"/>
      <c r="D98" s="16"/>
      <c r="E98" s="16"/>
      <c r="F98" s="16"/>
      <c r="G98" s="16"/>
      <c r="H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customHeight="1" spans="1:29">
      <c r="A99" s="16"/>
      <c r="B99" s="16"/>
      <c r="C99" s="16"/>
      <c r="D99" s="16"/>
      <c r="E99" s="16"/>
      <c r="F99" s="16"/>
      <c r="G99" s="16"/>
      <c r="H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customHeight="1" spans="1:29">
      <c r="A100" s="16"/>
      <c r="B100" s="16"/>
      <c r="C100" s="16"/>
      <c r="D100" s="16"/>
      <c r="E100" s="16"/>
      <c r="F100" s="16"/>
      <c r="G100" s="16"/>
      <c r="H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customHeight="1" spans="1:29">
      <c r="A101" s="16"/>
      <c r="B101" s="16"/>
      <c r="C101" s="16"/>
      <c r="D101" s="16"/>
      <c r="E101" s="16"/>
      <c r="F101" s="16"/>
      <c r="G101" s="16"/>
      <c r="H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customHeight="1" spans="1:29">
      <c r="A102" s="16"/>
      <c r="B102" s="16"/>
      <c r="C102" s="16"/>
      <c r="D102" s="16"/>
      <c r="E102" s="16"/>
      <c r="F102" s="16"/>
      <c r="G102" s="16"/>
      <c r="H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customHeight="1" spans="1:29">
      <c r="A103" s="16"/>
      <c r="B103" s="16"/>
      <c r="C103" s="16"/>
      <c r="D103" s="16"/>
      <c r="E103" s="16"/>
      <c r="F103" s="16"/>
      <c r="G103" s="16"/>
      <c r="H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customHeight="1" spans="1:29">
      <c r="A104" s="16"/>
      <c r="B104" s="16"/>
      <c r="C104" s="16"/>
      <c r="D104" s="16"/>
      <c r="E104" s="16"/>
      <c r="F104" s="16"/>
      <c r="G104" s="16"/>
      <c r="H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customHeight="1" spans="1:29">
      <c r="A105" s="16"/>
      <c r="B105" s="16"/>
      <c r="C105" s="16"/>
      <c r="D105" s="16"/>
      <c r="E105" s="16"/>
      <c r="F105" s="16"/>
      <c r="G105" s="16"/>
      <c r="H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customHeight="1" spans="1:29">
      <c r="A106" s="16"/>
      <c r="B106" s="16"/>
      <c r="C106" s="16"/>
      <c r="D106" s="16"/>
      <c r="E106" s="16"/>
      <c r="F106" s="16"/>
      <c r="G106" s="16"/>
      <c r="H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customHeight="1" spans="1:29">
      <c r="A107" s="16"/>
      <c r="B107" s="16"/>
      <c r="C107" s="16"/>
      <c r="D107" s="16"/>
      <c r="E107" s="16"/>
      <c r="F107" s="16"/>
      <c r="G107" s="16"/>
      <c r="H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customHeight="1" spans="1:29">
      <c r="A108" s="16"/>
      <c r="B108" s="16"/>
      <c r="C108" s="16"/>
      <c r="D108" s="16"/>
      <c r="E108" s="16"/>
      <c r="F108" s="16"/>
      <c r="G108" s="16"/>
      <c r="H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customHeight="1" spans="1:29">
      <c r="A109" s="16"/>
      <c r="B109" s="16"/>
      <c r="C109" s="16"/>
      <c r="D109" s="16"/>
      <c r="E109" s="16"/>
      <c r="F109" s="16"/>
      <c r="G109" s="16"/>
      <c r="H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customHeight="1" spans="1:29">
      <c r="A110" s="16"/>
      <c r="B110" s="16"/>
      <c r="C110" s="16"/>
      <c r="D110" s="16"/>
      <c r="E110" s="16"/>
      <c r="F110" s="16"/>
      <c r="G110" s="16"/>
      <c r="H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customHeight="1" spans="1:29">
      <c r="A111" s="16"/>
      <c r="B111" s="16"/>
      <c r="C111" s="16"/>
      <c r="D111" s="16"/>
      <c r="E111" s="16"/>
      <c r="F111" s="16"/>
      <c r="G111" s="16"/>
      <c r="H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customHeight="1" spans="1:29">
      <c r="A112" s="16"/>
      <c r="B112" s="16"/>
      <c r="C112" s="16"/>
      <c r="D112" s="16"/>
      <c r="E112" s="16"/>
      <c r="F112" s="16"/>
      <c r="G112" s="16"/>
      <c r="H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customHeight="1" spans="1:29">
      <c r="A113" s="16"/>
      <c r="B113" s="16"/>
      <c r="C113" s="16"/>
      <c r="D113" s="16"/>
      <c r="E113" s="16"/>
      <c r="F113" s="16"/>
      <c r="G113" s="16"/>
      <c r="H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customHeight="1" spans="1:29">
      <c r="A114" s="16"/>
      <c r="B114" s="16"/>
      <c r="C114" s="16"/>
      <c r="D114" s="16"/>
      <c r="E114" s="16"/>
      <c r="F114" s="16"/>
      <c r="G114" s="16"/>
      <c r="H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customHeight="1" spans="1:29">
      <c r="A115" s="16"/>
      <c r="B115" s="16"/>
      <c r="C115" s="16"/>
      <c r="D115" s="16"/>
      <c r="E115" s="16"/>
      <c r="F115" s="16"/>
      <c r="G115" s="16"/>
      <c r="H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customHeight="1" spans="1:29">
      <c r="A116" s="16"/>
      <c r="B116" s="16"/>
      <c r="C116" s="16"/>
      <c r="D116" s="16"/>
      <c r="E116" s="16"/>
      <c r="F116" s="16"/>
      <c r="G116" s="16"/>
      <c r="H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customHeight="1" spans="1:29">
      <c r="A117" s="16"/>
      <c r="B117" s="16"/>
      <c r="C117" s="16"/>
      <c r="D117" s="16"/>
      <c r="E117" s="16"/>
      <c r="F117" s="16"/>
      <c r="G117" s="16"/>
      <c r="H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customHeight="1" spans="1:29">
      <c r="A118" s="16"/>
      <c r="B118" s="16"/>
      <c r="C118" s="16"/>
      <c r="D118" s="16"/>
      <c r="E118" s="16"/>
      <c r="F118" s="16"/>
      <c r="G118" s="16"/>
      <c r="H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customHeight="1" spans="1:29">
      <c r="A119" s="16"/>
      <c r="B119" s="16"/>
      <c r="C119" s="16"/>
      <c r="D119" s="16"/>
      <c r="E119" s="16"/>
      <c r="F119" s="16"/>
      <c r="G119" s="16"/>
      <c r="H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customHeight="1" spans="1:29">
      <c r="A120" s="16"/>
      <c r="B120" s="16"/>
      <c r="C120" s="16"/>
      <c r="D120" s="16"/>
      <c r="E120" s="16"/>
      <c r="F120" s="16"/>
      <c r="G120" s="16"/>
      <c r="H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customHeight="1" spans="1:29">
      <c r="A121" s="16"/>
      <c r="B121" s="16"/>
      <c r="C121" s="16"/>
      <c r="D121" s="16"/>
      <c r="E121" s="16"/>
      <c r="F121" s="16"/>
      <c r="G121" s="16"/>
      <c r="H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customHeight="1" spans="1:29">
      <c r="A122" s="16"/>
      <c r="B122" s="16"/>
      <c r="C122" s="16"/>
      <c r="D122" s="16"/>
      <c r="E122" s="16"/>
      <c r="F122" s="16"/>
      <c r="G122" s="16"/>
      <c r="H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customHeight="1" spans="1:29">
      <c r="A123" s="16"/>
      <c r="B123" s="16"/>
      <c r="C123" s="16"/>
      <c r="D123" s="16"/>
      <c r="E123" s="16"/>
      <c r="F123" s="16"/>
      <c r="G123" s="16"/>
      <c r="H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customHeight="1" spans="1:29">
      <c r="A124" s="16"/>
      <c r="B124" s="16"/>
      <c r="C124" s="16"/>
      <c r="D124" s="16"/>
      <c r="E124" s="16"/>
      <c r="F124" s="16"/>
      <c r="G124" s="16"/>
      <c r="H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customHeight="1" spans="1:29">
      <c r="A125" s="16"/>
      <c r="B125" s="16"/>
      <c r="C125" s="16"/>
      <c r="D125" s="16"/>
      <c r="E125" s="16"/>
      <c r="F125" s="16"/>
      <c r="G125" s="16"/>
      <c r="H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customHeight="1" spans="1:29">
      <c r="A126" s="16"/>
      <c r="B126" s="16"/>
      <c r="C126" s="16"/>
      <c r="D126" s="16"/>
      <c r="E126" s="16"/>
      <c r="F126" s="16"/>
      <c r="G126" s="16"/>
      <c r="H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customHeight="1" spans="1:29">
      <c r="A127" s="16"/>
      <c r="B127" s="16"/>
      <c r="C127" s="16"/>
      <c r="D127" s="16"/>
      <c r="E127" s="16"/>
      <c r="F127" s="16"/>
      <c r="G127" s="16"/>
      <c r="H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customHeight="1" spans="1:29">
      <c r="A128" s="16"/>
      <c r="B128" s="16"/>
      <c r="C128" s="16"/>
      <c r="D128" s="16"/>
      <c r="E128" s="16"/>
      <c r="F128" s="16"/>
      <c r="G128" s="16"/>
      <c r="H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customHeight="1" spans="1:29">
      <c r="A129" s="16"/>
      <c r="B129" s="16"/>
      <c r="C129" s="16"/>
      <c r="D129" s="16"/>
      <c r="E129" s="16"/>
      <c r="F129" s="16"/>
      <c r="G129" s="16"/>
      <c r="H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customHeight="1" spans="1:29">
      <c r="A130" s="16"/>
      <c r="B130" s="16"/>
      <c r="C130" s="16"/>
      <c r="D130" s="16"/>
      <c r="E130" s="16"/>
      <c r="F130" s="16"/>
      <c r="G130" s="16"/>
      <c r="H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customHeight="1" spans="1:29">
      <c r="A131" s="16"/>
      <c r="B131" s="16"/>
      <c r="C131" s="16"/>
      <c r="D131" s="16"/>
      <c r="E131" s="16"/>
      <c r="F131" s="16"/>
      <c r="G131" s="16"/>
      <c r="H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customHeight="1" spans="1:29">
      <c r="A132" s="16"/>
      <c r="B132" s="16"/>
      <c r="C132" s="16"/>
      <c r="D132" s="16"/>
      <c r="E132" s="16"/>
      <c r="F132" s="16"/>
      <c r="G132" s="16"/>
      <c r="H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customHeight="1" spans="1:29">
      <c r="A133" s="16"/>
      <c r="B133" s="16"/>
      <c r="C133" s="16"/>
      <c r="D133" s="16"/>
      <c r="E133" s="16"/>
      <c r="F133" s="16"/>
      <c r="G133" s="16"/>
      <c r="H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customHeight="1" spans="1:29">
      <c r="A134" s="16"/>
      <c r="B134" s="16"/>
      <c r="C134" s="16"/>
      <c r="D134" s="16"/>
      <c r="E134" s="16"/>
      <c r="F134" s="16"/>
      <c r="G134" s="16"/>
      <c r="H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customHeight="1" spans="1:29">
      <c r="A135" s="16"/>
      <c r="B135" s="16"/>
      <c r="C135" s="16"/>
      <c r="D135" s="16"/>
      <c r="E135" s="16"/>
      <c r="F135" s="16"/>
      <c r="G135" s="16"/>
      <c r="H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customHeight="1" spans="1:29">
      <c r="A136" s="16"/>
      <c r="B136" s="16"/>
      <c r="C136" s="16"/>
      <c r="D136" s="16"/>
      <c r="E136" s="16"/>
      <c r="F136" s="16"/>
      <c r="G136" s="16"/>
      <c r="H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customHeight="1" spans="1:29">
      <c r="A137" s="16"/>
      <c r="B137" s="16"/>
      <c r="C137" s="16"/>
      <c r="D137" s="16"/>
      <c r="E137" s="16"/>
      <c r="F137" s="16"/>
      <c r="G137" s="16"/>
      <c r="H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customHeight="1" spans="1:29">
      <c r="A138" s="16"/>
      <c r="B138" s="16"/>
      <c r="C138" s="16"/>
      <c r="D138" s="16"/>
      <c r="E138" s="16"/>
      <c r="F138" s="16"/>
      <c r="G138" s="16"/>
      <c r="H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customHeight="1" spans="1:29">
      <c r="A139" s="16"/>
      <c r="B139" s="16"/>
      <c r="C139" s="16"/>
      <c r="D139" s="16"/>
      <c r="E139" s="16"/>
      <c r="F139" s="16"/>
      <c r="G139" s="16"/>
      <c r="H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customHeight="1" spans="1:29">
      <c r="A140" s="16"/>
      <c r="B140" s="16"/>
      <c r="C140" s="16"/>
      <c r="D140" s="16"/>
      <c r="E140" s="16"/>
      <c r="F140" s="16"/>
      <c r="G140" s="16"/>
      <c r="H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customHeight="1" spans="1:29">
      <c r="A141" s="16"/>
      <c r="B141" s="16"/>
      <c r="C141" s="16"/>
      <c r="D141" s="16"/>
      <c r="E141" s="16"/>
      <c r="F141" s="16"/>
      <c r="G141" s="16"/>
      <c r="H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customHeight="1" spans="1:29">
      <c r="A142" s="16"/>
      <c r="B142" s="16"/>
      <c r="C142" s="16"/>
      <c r="D142" s="16"/>
      <c r="E142" s="16"/>
      <c r="F142" s="16"/>
      <c r="G142" s="16"/>
      <c r="H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customHeight="1" spans="1:29">
      <c r="A143" s="16"/>
      <c r="B143" s="16"/>
      <c r="C143" s="16"/>
      <c r="D143" s="16"/>
      <c r="E143" s="16"/>
      <c r="F143" s="16"/>
      <c r="G143" s="16"/>
      <c r="H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customHeight="1" spans="1:29">
      <c r="A144" s="16"/>
      <c r="B144" s="16"/>
      <c r="C144" s="16"/>
      <c r="D144" s="16"/>
      <c r="E144" s="16"/>
      <c r="F144" s="16"/>
      <c r="G144" s="16"/>
      <c r="H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customHeight="1" spans="1:29">
      <c r="A145" s="16"/>
      <c r="B145" s="16"/>
      <c r="C145" s="16"/>
      <c r="D145" s="16"/>
      <c r="E145" s="16"/>
      <c r="F145" s="16"/>
      <c r="G145" s="16"/>
      <c r="H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customHeight="1" spans="1:29">
      <c r="A146" s="16"/>
      <c r="B146" s="16"/>
      <c r="C146" s="16"/>
      <c r="D146" s="16"/>
      <c r="E146" s="16"/>
      <c r="F146" s="16"/>
      <c r="G146" s="16"/>
      <c r="H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customHeight="1" spans="1:29">
      <c r="A147" s="16"/>
      <c r="B147" s="16"/>
      <c r="C147" s="16"/>
      <c r="D147" s="16"/>
      <c r="E147" s="16"/>
      <c r="F147" s="16"/>
      <c r="G147" s="16"/>
      <c r="H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customHeight="1" spans="1:29">
      <c r="A148" s="16"/>
      <c r="B148" s="16"/>
      <c r="C148" s="16"/>
      <c r="D148" s="16"/>
      <c r="E148" s="16"/>
      <c r="F148" s="16"/>
      <c r="G148" s="16"/>
      <c r="H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customHeight="1" spans="1:29">
      <c r="A149" s="16"/>
      <c r="B149" s="16"/>
      <c r="C149" s="16"/>
      <c r="D149" s="16"/>
      <c r="E149" s="16"/>
      <c r="F149" s="16"/>
      <c r="G149" s="16"/>
      <c r="H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customHeight="1" spans="1:29">
      <c r="A150" s="16"/>
      <c r="B150" s="16"/>
      <c r="C150" s="16"/>
      <c r="D150" s="16"/>
      <c r="E150" s="16"/>
      <c r="F150" s="16"/>
      <c r="G150" s="16"/>
      <c r="H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customHeight="1" spans="1:29">
      <c r="A151" s="16"/>
      <c r="B151" s="16"/>
      <c r="C151" s="16"/>
      <c r="D151" s="16"/>
      <c r="E151" s="16"/>
      <c r="F151" s="16"/>
      <c r="G151" s="16"/>
      <c r="H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customHeight="1" spans="1:29">
      <c r="A152" s="16"/>
      <c r="B152" s="16"/>
      <c r="C152" s="16"/>
      <c r="D152" s="16"/>
      <c r="E152" s="16"/>
      <c r="F152" s="16"/>
      <c r="G152" s="16"/>
      <c r="H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customHeight="1" spans="1:29">
      <c r="A153" s="16"/>
      <c r="B153" s="16"/>
      <c r="C153" s="16"/>
      <c r="D153" s="16"/>
      <c r="E153" s="16"/>
      <c r="F153" s="16"/>
      <c r="G153" s="16"/>
      <c r="H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customHeight="1" spans="1:29">
      <c r="A154" s="16"/>
      <c r="B154" s="16"/>
      <c r="C154" s="16"/>
      <c r="D154" s="16"/>
      <c r="E154" s="16"/>
      <c r="F154" s="16"/>
      <c r="G154" s="16"/>
      <c r="H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customHeight="1" spans="1:29">
      <c r="A155" s="16"/>
      <c r="B155" s="16"/>
      <c r="C155" s="16"/>
      <c r="D155" s="16"/>
      <c r="E155" s="16"/>
      <c r="F155" s="16"/>
      <c r="G155" s="16"/>
      <c r="H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customHeight="1" spans="1:29">
      <c r="A156" s="16"/>
      <c r="B156" s="16"/>
      <c r="C156" s="16"/>
      <c r="D156" s="16"/>
      <c r="E156" s="16"/>
      <c r="F156" s="16"/>
      <c r="G156" s="16"/>
      <c r="H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customHeight="1" spans="1:29">
      <c r="A157" s="16"/>
      <c r="B157" s="16"/>
      <c r="C157" s="16"/>
      <c r="D157" s="16"/>
      <c r="E157" s="16"/>
      <c r="F157" s="16"/>
      <c r="G157" s="16"/>
      <c r="H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customHeight="1" spans="1:29">
      <c r="A158" s="16"/>
      <c r="B158" s="16"/>
      <c r="C158" s="16"/>
      <c r="D158" s="16"/>
      <c r="E158" s="16"/>
      <c r="F158" s="16"/>
      <c r="G158" s="16"/>
      <c r="H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customHeight="1" spans="1:29">
      <c r="A159" s="16"/>
      <c r="B159" s="16"/>
      <c r="C159" s="16"/>
      <c r="D159" s="16"/>
      <c r="E159" s="16"/>
      <c r="F159" s="16"/>
      <c r="G159" s="16"/>
      <c r="H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customHeight="1" spans="1:29">
      <c r="A160" s="16"/>
      <c r="B160" s="16"/>
      <c r="C160" s="16"/>
      <c r="D160" s="16"/>
      <c r="E160" s="16"/>
      <c r="F160" s="16"/>
      <c r="G160" s="16"/>
      <c r="H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customHeight="1" spans="1:29">
      <c r="A161" s="16"/>
      <c r="B161" s="16"/>
      <c r="C161" s="16"/>
      <c r="D161" s="16"/>
      <c r="E161" s="16"/>
      <c r="F161" s="16"/>
      <c r="G161" s="16"/>
      <c r="H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customHeight="1" spans="1:29">
      <c r="A162" s="16"/>
      <c r="B162" s="16"/>
      <c r="C162" s="16"/>
      <c r="D162" s="16"/>
      <c r="E162" s="16"/>
      <c r="F162" s="16"/>
      <c r="G162" s="16"/>
      <c r="H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customHeight="1" spans="1:29">
      <c r="A163" s="16"/>
      <c r="B163" s="16"/>
      <c r="C163" s="16"/>
      <c r="D163" s="16"/>
      <c r="E163" s="16"/>
      <c r="F163" s="16"/>
      <c r="G163" s="16"/>
      <c r="H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customHeight="1" spans="1:29">
      <c r="A164" s="16"/>
      <c r="B164" s="16"/>
      <c r="C164" s="16"/>
      <c r="D164" s="16"/>
      <c r="E164" s="16"/>
      <c r="F164" s="16"/>
      <c r="G164" s="16"/>
      <c r="H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customHeight="1" spans="1:29">
      <c r="A165" s="16"/>
      <c r="B165" s="16"/>
      <c r="C165" s="16"/>
      <c r="D165" s="16"/>
      <c r="E165" s="16"/>
      <c r="F165" s="16"/>
      <c r="G165" s="16"/>
      <c r="H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customHeight="1" spans="1:29">
      <c r="A166" s="16"/>
      <c r="B166" s="16"/>
      <c r="C166" s="16"/>
      <c r="D166" s="16"/>
      <c r="E166" s="16"/>
      <c r="F166" s="16"/>
      <c r="G166" s="16"/>
      <c r="H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customHeight="1" spans="1:29">
      <c r="A167" s="16"/>
      <c r="B167" s="16"/>
      <c r="C167" s="16"/>
      <c r="D167" s="16"/>
      <c r="E167" s="16"/>
      <c r="F167" s="16"/>
      <c r="G167" s="16"/>
      <c r="H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customHeight="1" spans="1:29">
      <c r="A168" s="16"/>
      <c r="B168" s="16"/>
      <c r="C168" s="16"/>
      <c r="D168" s="16"/>
      <c r="E168" s="16"/>
      <c r="F168" s="16"/>
      <c r="G168" s="16"/>
      <c r="H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customHeight="1" spans="1:29">
      <c r="A169" s="16"/>
      <c r="B169" s="16"/>
      <c r="C169" s="16"/>
      <c r="D169" s="16"/>
      <c r="E169" s="16"/>
      <c r="F169" s="16"/>
      <c r="G169" s="16"/>
      <c r="H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customHeight="1" spans="1:29">
      <c r="A170" s="16"/>
      <c r="B170" s="16"/>
      <c r="C170" s="16"/>
      <c r="D170" s="16"/>
      <c r="E170" s="16"/>
      <c r="F170" s="16"/>
      <c r="G170" s="16"/>
      <c r="H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customHeight="1" spans="1:29">
      <c r="A171" s="16"/>
      <c r="B171" s="16"/>
      <c r="C171" s="16"/>
      <c r="D171" s="16"/>
      <c r="E171" s="16"/>
      <c r="F171" s="16"/>
      <c r="G171" s="16"/>
      <c r="H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customHeight="1" spans="1:29">
      <c r="A172" s="16"/>
      <c r="B172" s="16"/>
      <c r="C172" s="16"/>
      <c r="D172" s="16"/>
      <c r="E172" s="16"/>
      <c r="F172" s="16"/>
      <c r="G172" s="16"/>
      <c r="H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customHeight="1" spans="1:29">
      <c r="A173" s="16"/>
      <c r="B173" s="16"/>
      <c r="C173" s="16"/>
      <c r="D173" s="16"/>
      <c r="E173" s="16"/>
      <c r="F173" s="16"/>
      <c r="G173" s="16"/>
      <c r="H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customHeight="1" spans="1:29">
      <c r="A174" s="16"/>
      <c r="B174" s="16"/>
      <c r="C174" s="16"/>
      <c r="D174" s="16"/>
      <c r="E174" s="16"/>
      <c r="F174" s="16"/>
      <c r="G174" s="16"/>
      <c r="H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customHeight="1" spans="1:29">
      <c r="A175" s="16"/>
      <c r="B175" s="16"/>
      <c r="C175" s="16"/>
      <c r="D175" s="16"/>
      <c r="E175" s="16"/>
      <c r="F175" s="16"/>
      <c r="G175" s="16"/>
      <c r="H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customHeight="1" spans="1:29">
      <c r="A176" s="16"/>
      <c r="B176" s="16"/>
      <c r="C176" s="16"/>
      <c r="D176" s="16"/>
      <c r="E176" s="16"/>
      <c r="F176" s="16"/>
      <c r="G176" s="16"/>
      <c r="H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customHeight="1" spans="1:29">
      <c r="A177" s="16"/>
      <c r="B177" s="16"/>
      <c r="C177" s="16"/>
      <c r="D177" s="16"/>
      <c r="E177" s="16"/>
      <c r="F177" s="16"/>
      <c r="G177" s="16"/>
      <c r="H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customHeight="1" spans="1:29">
      <c r="A178" s="16"/>
      <c r="B178" s="16"/>
      <c r="C178" s="16"/>
      <c r="D178" s="16"/>
      <c r="E178" s="16"/>
      <c r="F178" s="16"/>
      <c r="G178" s="16"/>
      <c r="H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customHeight="1" spans="1:29">
      <c r="A179" s="16"/>
      <c r="B179" s="16"/>
      <c r="C179" s="16"/>
      <c r="D179" s="16"/>
      <c r="E179" s="16"/>
      <c r="F179" s="16"/>
      <c r="G179" s="16"/>
      <c r="H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customHeight="1" spans="1:29">
      <c r="A180" s="16"/>
      <c r="B180" s="16"/>
      <c r="C180" s="16"/>
      <c r="D180" s="16"/>
      <c r="E180" s="16"/>
      <c r="F180" s="16"/>
      <c r="G180" s="16"/>
      <c r="H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customHeight="1" spans="1:29">
      <c r="A181" s="16"/>
      <c r="B181" s="16"/>
      <c r="C181" s="16"/>
      <c r="D181" s="16"/>
      <c r="E181" s="16"/>
      <c r="F181" s="16"/>
      <c r="G181" s="16"/>
      <c r="H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customHeight="1" spans="1:29">
      <c r="A182" s="16"/>
      <c r="B182" s="16"/>
      <c r="C182" s="16"/>
      <c r="D182" s="16"/>
      <c r="E182" s="16"/>
      <c r="F182" s="16"/>
      <c r="G182" s="16"/>
      <c r="H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customHeight="1" spans="1:29">
      <c r="A183" s="16"/>
      <c r="B183" s="16"/>
      <c r="C183" s="16"/>
      <c r="D183" s="16"/>
      <c r="E183" s="16"/>
      <c r="F183" s="16"/>
      <c r="G183" s="16"/>
      <c r="H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customHeight="1" spans="1:29">
      <c r="A184" s="16"/>
      <c r="B184" s="16"/>
      <c r="C184" s="16"/>
      <c r="D184" s="16"/>
      <c r="E184" s="16"/>
      <c r="F184" s="16"/>
      <c r="G184" s="16"/>
      <c r="H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customHeight="1" spans="1:29">
      <c r="A185" s="16"/>
      <c r="B185" s="16"/>
      <c r="C185" s="16"/>
      <c r="D185" s="16"/>
      <c r="E185" s="16"/>
      <c r="F185" s="16"/>
      <c r="G185" s="16"/>
      <c r="H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customHeight="1" spans="1:29">
      <c r="A186" s="16"/>
      <c r="B186" s="16"/>
      <c r="C186" s="16"/>
      <c r="D186" s="16"/>
      <c r="E186" s="16"/>
      <c r="F186" s="16"/>
      <c r="G186" s="16"/>
      <c r="H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customHeight="1" spans="1:29">
      <c r="A187" s="16"/>
      <c r="B187" s="16"/>
      <c r="C187" s="16"/>
      <c r="D187" s="16"/>
      <c r="E187" s="16"/>
      <c r="F187" s="16"/>
      <c r="G187" s="16"/>
      <c r="H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customHeight="1" spans="1:29">
      <c r="A188" s="16"/>
      <c r="B188" s="16"/>
      <c r="C188" s="16"/>
      <c r="D188" s="16"/>
      <c r="E188" s="16"/>
      <c r="F188" s="16"/>
      <c r="G188" s="16"/>
      <c r="H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customHeight="1" spans="1:29">
      <c r="A189" s="16"/>
      <c r="B189" s="16"/>
      <c r="C189" s="16"/>
      <c r="D189" s="16"/>
      <c r="E189" s="16"/>
      <c r="F189" s="16"/>
      <c r="G189" s="16"/>
      <c r="H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customHeight="1" spans="1:29">
      <c r="A190" s="16"/>
      <c r="B190" s="16"/>
      <c r="C190" s="16"/>
      <c r="D190" s="16"/>
      <c r="E190" s="16"/>
      <c r="F190" s="16"/>
      <c r="G190" s="16"/>
      <c r="H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customHeight="1" spans="1:29">
      <c r="A191" s="16"/>
      <c r="B191" s="16"/>
      <c r="C191" s="16"/>
      <c r="D191" s="16"/>
      <c r="E191" s="16"/>
      <c r="F191" s="16"/>
      <c r="G191" s="16"/>
      <c r="H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customHeight="1" spans="1:29">
      <c r="A192" s="16"/>
      <c r="B192" s="16"/>
      <c r="C192" s="16"/>
      <c r="D192" s="16"/>
      <c r="E192" s="16"/>
      <c r="F192" s="16"/>
      <c r="G192" s="16"/>
      <c r="H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customHeight="1" spans="1:29">
      <c r="A193" s="16"/>
      <c r="B193" s="16"/>
      <c r="C193" s="16"/>
      <c r="D193" s="16"/>
      <c r="E193" s="16"/>
      <c r="F193" s="16"/>
      <c r="G193" s="16"/>
      <c r="H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customHeight="1" spans="1:29">
      <c r="A194" s="16"/>
      <c r="B194" s="16"/>
      <c r="C194" s="16"/>
      <c r="D194" s="16"/>
      <c r="E194" s="16"/>
      <c r="F194" s="16"/>
      <c r="G194" s="16"/>
      <c r="H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customHeight="1" spans="1:29">
      <c r="A195" s="16"/>
      <c r="B195" s="16"/>
      <c r="C195" s="16"/>
      <c r="D195" s="16"/>
      <c r="E195" s="16"/>
      <c r="F195" s="16"/>
      <c r="G195" s="16"/>
      <c r="H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customHeight="1" spans="1:29">
      <c r="A196" s="16"/>
      <c r="B196" s="16"/>
      <c r="C196" s="16"/>
      <c r="D196" s="16"/>
      <c r="E196" s="16"/>
      <c r="F196" s="16"/>
      <c r="G196" s="16"/>
      <c r="H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customHeight="1" spans="1:29">
      <c r="A197" s="16"/>
      <c r="B197" s="16"/>
      <c r="C197" s="16"/>
      <c r="D197" s="16"/>
      <c r="E197" s="16"/>
      <c r="F197" s="16"/>
      <c r="G197" s="16"/>
      <c r="H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customHeight="1" spans="1:29">
      <c r="A198" s="16"/>
      <c r="B198" s="16"/>
      <c r="C198" s="16"/>
      <c r="D198" s="16"/>
      <c r="E198" s="16"/>
      <c r="F198" s="16"/>
      <c r="G198" s="16"/>
      <c r="H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customHeight="1" spans="1:29">
      <c r="A199" s="16"/>
      <c r="B199" s="16"/>
      <c r="C199" s="16"/>
      <c r="D199" s="16"/>
      <c r="E199" s="16"/>
      <c r="F199" s="16"/>
      <c r="G199" s="16"/>
      <c r="H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customHeight="1" spans="1:29">
      <c r="A200" s="16"/>
      <c r="B200" s="16"/>
      <c r="C200" s="16"/>
      <c r="D200" s="16"/>
      <c r="E200" s="16"/>
      <c r="F200" s="16"/>
      <c r="G200" s="16"/>
      <c r="H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customHeight="1" spans="1:29">
      <c r="A201" s="16"/>
      <c r="B201" s="16"/>
      <c r="C201" s="16"/>
      <c r="D201" s="16"/>
      <c r="E201" s="16"/>
      <c r="F201" s="16"/>
      <c r="G201" s="16"/>
      <c r="H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customHeight="1" spans="1:29">
      <c r="A202" s="16"/>
      <c r="B202" s="16"/>
      <c r="C202" s="16"/>
      <c r="D202" s="16"/>
      <c r="E202" s="16"/>
      <c r="F202" s="16"/>
      <c r="G202" s="16"/>
      <c r="H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customHeight="1" spans="1:29">
      <c r="A203" s="16"/>
      <c r="B203" s="16"/>
      <c r="C203" s="16"/>
      <c r="D203" s="16"/>
      <c r="E203" s="16"/>
      <c r="F203" s="16"/>
      <c r="G203" s="16"/>
      <c r="H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customHeight="1" spans="1:29">
      <c r="A204" s="16"/>
      <c r="B204" s="16"/>
      <c r="C204" s="16"/>
      <c r="D204" s="16"/>
      <c r="E204" s="16"/>
      <c r="F204" s="16"/>
      <c r="G204" s="16"/>
      <c r="H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customHeight="1" spans="1:29">
      <c r="A205" s="16"/>
      <c r="B205" s="16"/>
      <c r="C205" s="16"/>
      <c r="D205" s="16"/>
      <c r="E205" s="16"/>
      <c r="F205" s="16"/>
      <c r="G205" s="16"/>
      <c r="H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customHeight="1" spans="1:29">
      <c r="A206" s="16"/>
      <c r="B206" s="16"/>
      <c r="C206" s="16"/>
      <c r="D206" s="16"/>
      <c r="E206" s="16"/>
      <c r="F206" s="16"/>
      <c r="G206" s="16"/>
      <c r="H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customHeight="1" spans="1:29">
      <c r="A207" s="16"/>
      <c r="B207" s="16"/>
      <c r="C207" s="16"/>
      <c r="D207" s="16"/>
      <c r="E207" s="16"/>
      <c r="F207" s="16"/>
      <c r="G207" s="16"/>
      <c r="H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customHeight="1" spans="1:29">
      <c r="A208" s="16"/>
      <c r="B208" s="16"/>
      <c r="C208" s="16"/>
      <c r="D208" s="16"/>
      <c r="E208" s="16"/>
      <c r="F208" s="16"/>
      <c r="G208" s="16"/>
      <c r="H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customHeight="1" spans="1:29">
      <c r="A209" s="16"/>
      <c r="B209" s="16"/>
      <c r="C209" s="16"/>
      <c r="D209" s="16"/>
      <c r="E209" s="16"/>
      <c r="F209" s="16"/>
      <c r="G209" s="16"/>
      <c r="H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customHeight="1" spans="1:29">
      <c r="A210" s="16"/>
      <c r="B210" s="16"/>
      <c r="C210" s="16"/>
      <c r="D210" s="16"/>
      <c r="E210" s="16"/>
      <c r="F210" s="16"/>
      <c r="G210" s="16"/>
      <c r="H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customHeight="1" spans="1:29">
      <c r="A211" s="16"/>
      <c r="B211" s="16"/>
      <c r="C211" s="16"/>
      <c r="D211" s="16"/>
      <c r="E211" s="16"/>
      <c r="F211" s="16"/>
      <c r="G211" s="16"/>
      <c r="H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customHeight="1" spans="1:29">
      <c r="A212" s="16"/>
      <c r="B212" s="16"/>
      <c r="C212" s="16"/>
      <c r="D212" s="16"/>
      <c r="E212" s="16"/>
      <c r="F212" s="16"/>
      <c r="G212" s="16"/>
      <c r="H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customHeight="1" spans="1:29">
      <c r="A213" s="16"/>
      <c r="B213" s="16"/>
      <c r="C213" s="16"/>
      <c r="D213" s="16"/>
      <c r="E213" s="16"/>
      <c r="F213" s="16"/>
      <c r="G213" s="16"/>
      <c r="H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customHeight="1" spans="1:29">
      <c r="A214" s="16"/>
      <c r="B214" s="16"/>
      <c r="C214" s="16"/>
      <c r="D214" s="16"/>
      <c r="E214" s="16"/>
      <c r="F214" s="16"/>
      <c r="G214" s="16"/>
      <c r="H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customHeight="1" spans="1:29">
      <c r="A215" s="16"/>
      <c r="B215" s="16"/>
      <c r="C215" s="16"/>
      <c r="D215" s="16"/>
      <c r="E215" s="16"/>
      <c r="F215" s="16"/>
      <c r="G215" s="16"/>
      <c r="H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customHeight="1" spans="1:29">
      <c r="A216" s="16"/>
      <c r="B216" s="16"/>
      <c r="C216" s="16"/>
      <c r="D216" s="16"/>
      <c r="E216" s="16"/>
      <c r="F216" s="16"/>
      <c r="G216" s="16"/>
      <c r="H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customHeight="1" spans="1:29">
      <c r="A217" s="16"/>
      <c r="B217" s="16"/>
      <c r="C217" s="16"/>
      <c r="D217" s="16"/>
      <c r="E217" s="16"/>
      <c r="F217" s="16"/>
      <c r="G217" s="16"/>
      <c r="H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customHeight="1" spans="1:29">
      <c r="A218" s="16"/>
      <c r="B218" s="16"/>
      <c r="C218" s="16"/>
      <c r="D218" s="16"/>
      <c r="E218" s="16"/>
      <c r="F218" s="16"/>
      <c r="G218" s="16"/>
      <c r="H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customHeight="1" spans="1:29">
      <c r="A219" s="16"/>
      <c r="B219" s="16"/>
      <c r="C219" s="16"/>
      <c r="D219" s="16"/>
      <c r="E219" s="16"/>
      <c r="F219" s="16"/>
      <c r="G219" s="16"/>
      <c r="H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customHeight="1" spans="1:29">
      <c r="A220" s="16"/>
      <c r="B220" s="16"/>
      <c r="C220" s="16"/>
      <c r="D220" s="16"/>
      <c r="E220" s="16"/>
      <c r="F220" s="16"/>
      <c r="G220" s="16"/>
      <c r="H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 customHeight="1" spans="1:29">
      <c r="A221" s="16"/>
      <c r="B221" s="16"/>
      <c r="C221" s="16"/>
      <c r="D221" s="16"/>
      <c r="E221" s="16"/>
      <c r="F221" s="16"/>
      <c r="G221" s="16"/>
      <c r="H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customHeight="1" spans="1:29">
      <c r="A222" s="16"/>
      <c r="B222" s="16"/>
      <c r="C222" s="16"/>
      <c r="D222" s="16"/>
      <c r="E222" s="16"/>
      <c r="F222" s="16"/>
      <c r="G222" s="16"/>
      <c r="H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 customHeight="1" spans="1:29">
      <c r="A223" s="16"/>
      <c r="B223" s="16"/>
      <c r="C223" s="16"/>
      <c r="D223" s="16"/>
      <c r="E223" s="16"/>
      <c r="F223" s="16"/>
      <c r="G223" s="16"/>
      <c r="H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customHeight="1" spans="1:29">
      <c r="A224" s="16"/>
      <c r="B224" s="16"/>
      <c r="C224" s="16"/>
      <c r="D224" s="16"/>
      <c r="E224" s="16"/>
      <c r="F224" s="16"/>
      <c r="G224" s="16"/>
      <c r="H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 customHeight="1" spans="1:29">
      <c r="A225" s="16"/>
      <c r="B225" s="16"/>
      <c r="C225" s="16"/>
      <c r="D225" s="16"/>
      <c r="E225" s="16"/>
      <c r="F225" s="16"/>
      <c r="G225" s="16"/>
      <c r="H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customHeight="1" spans="1:29">
      <c r="A226" s="16"/>
      <c r="B226" s="16"/>
      <c r="C226" s="16"/>
      <c r="D226" s="16"/>
      <c r="E226" s="16"/>
      <c r="F226" s="16"/>
      <c r="G226" s="16"/>
      <c r="H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 customHeight="1" spans="1:29">
      <c r="A227" s="16"/>
      <c r="B227" s="16"/>
      <c r="C227" s="16"/>
      <c r="D227" s="16"/>
      <c r="E227" s="16"/>
      <c r="F227" s="16"/>
      <c r="G227" s="16"/>
      <c r="H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customHeight="1" spans="1:29">
      <c r="A228" s="16"/>
      <c r="B228" s="16"/>
      <c r="C228" s="16"/>
      <c r="D228" s="16"/>
      <c r="E228" s="16"/>
      <c r="F228" s="16"/>
      <c r="G228" s="16"/>
      <c r="H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 customHeight="1" spans="1:29">
      <c r="A229" s="16"/>
      <c r="B229" s="16"/>
      <c r="C229" s="16"/>
      <c r="D229" s="16"/>
      <c r="E229" s="16"/>
      <c r="F229" s="16"/>
      <c r="G229" s="16"/>
      <c r="H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customHeight="1" spans="1:29">
      <c r="A230" s="16"/>
      <c r="B230" s="16"/>
      <c r="C230" s="16"/>
      <c r="D230" s="16"/>
      <c r="E230" s="16"/>
      <c r="F230" s="16"/>
      <c r="G230" s="16"/>
      <c r="H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 customHeight="1" spans="1:29">
      <c r="A231" s="16"/>
      <c r="B231" s="16"/>
      <c r="C231" s="16"/>
      <c r="D231" s="16"/>
      <c r="E231" s="16"/>
      <c r="F231" s="16"/>
      <c r="G231" s="16"/>
      <c r="H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customHeight="1" spans="1:29">
      <c r="A232" s="16"/>
      <c r="B232" s="16"/>
      <c r="C232" s="16"/>
      <c r="D232" s="16"/>
      <c r="E232" s="16"/>
      <c r="F232" s="16"/>
      <c r="G232" s="16"/>
      <c r="H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 customHeight="1" spans="1:29">
      <c r="A233" s="16"/>
      <c r="B233" s="16"/>
      <c r="C233" s="16"/>
      <c r="D233" s="16"/>
      <c r="E233" s="16"/>
      <c r="F233" s="16"/>
      <c r="G233" s="16"/>
      <c r="H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customHeight="1" spans="1:29">
      <c r="A234" s="16"/>
      <c r="B234" s="16"/>
      <c r="C234" s="16"/>
      <c r="D234" s="16"/>
      <c r="E234" s="16"/>
      <c r="F234" s="16"/>
      <c r="G234" s="16"/>
      <c r="H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 customHeight="1" spans="1:29">
      <c r="A235" s="16"/>
      <c r="B235" s="16"/>
      <c r="C235" s="16"/>
      <c r="D235" s="16"/>
      <c r="E235" s="16"/>
      <c r="F235" s="16"/>
      <c r="G235" s="16"/>
      <c r="H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customHeight="1" spans="1:29">
      <c r="A236" s="16"/>
      <c r="B236" s="16"/>
      <c r="C236" s="16"/>
      <c r="D236" s="16"/>
      <c r="E236" s="16"/>
      <c r="F236" s="16"/>
      <c r="G236" s="16"/>
      <c r="H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 customHeight="1" spans="1:29">
      <c r="A237" s="16"/>
      <c r="B237" s="16"/>
      <c r="C237" s="16"/>
      <c r="D237" s="16"/>
      <c r="E237" s="16"/>
      <c r="F237" s="16"/>
      <c r="G237" s="16"/>
      <c r="H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customHeight="1" spans="1:29">
      <c r="A238" s="16"/>
      <c r="B238" s="16"/>
      <c r="C238" s="16"/>
      <c r="D238" s="16"/>
      <c r="E238" s="16"/>
      <c r="F238" s="16"/>
      <c r="G238" s="16"/>
      <c r="H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 customHeight="1" spans="1:29">
      <c r="A239" s="16"/>
      <c r="B239" s="16"/>
      <c r="C239" s="16"/>
      <c r="D239" s="16"/>
      <c r="E239" s="16"/>
      <c r="F239" s="16"/>
      <c r="G239" s="16"/>
      <c r="H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customHeight="1" spans="1:29">
      <c r="A240" s="16"/>
      <c r="B240" s="16"/>
      <c r="C240" s="16"/>
      <c r="D240" s="16"/>
      <c r="E240" s="16"/>
      <c r="F240" s="16"/>
      <c r="G240" s="16"/>
      <c r="H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 customHeight="1" spans="1:29">
      <c r="A241" s="16"/>
      <c r="B241" s="16"/>
      <c r="C241" s="16"/>
      <c r="D241" s="16"/>
      <c r="E241" s="16"/>
      <c r="F241" s="16"/>
      <c r="G241" s="16"/>
      <c r="H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customHeight="1" spans="1:29">
      <c r="A242" s="16"/>
      <c r="B242" s="16"/>
      <c r="C242" s="16"/>
      <c r="D242" s="16"/>
      <c r="E242" s="16"/>
      <c r="F242" s="16"/>
      <c r="G242" s="16"/>
      <c r="H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 customHeight="1" spans="1:29">
      <c r="A243" s="16"/>
      <c r="B243" s="16"/>
      <c r="C243" s="16"/>
      <c r="D243" s="16"/>
      <c r="E243" s="16"/>
      <c r="F243" s="16"/>
      <c r="G243" s="16"/>
      <c r="H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customHeight="1" spans="1:29">
      <c r="A244" s="16"/>
      <c r="B244" s="16"/>
      <c r="C244" s="16"/>
      <c r="D244" s="16"/>
      <c r="E244" s="16"/>
      <c r="F244" s="16"/>
      <c r="G244" s="16"/>
      <c r="H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customHeight="1" spans="1:29">
      <c r="A245" s="16"/>
      <c r="B245" s="16"/>
      <c r="C245" s="16"/>
      <c r="D245" s="16"/>
      <c r="E245" s="16"/>
      <c r="F245" s="16"/>
      <c r="G245" s="16"/>
      <c r="H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customHeight="1" spans="1:29">
      <c r="A246" s="16"/>
      <c r="B246" s="16"/>
      <c r="C246" s="16"/>
      <c r="D246" s="16"/>
      <c r="E246" s="16"/>
      <c r="F246" s="16"/>
      <c r="G246" s="16"/>
      <c r="H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 customHeight="1" spans="1:29">
      <c r="A247" s="16"/>
      <c r="B247" s="16"/>
      <c r="C247" s="16"/>
      <c r="D247" s="16"/>
      <c r="E247" s="16"/>
      <c r="F247" s="16"/>
      <c r="G247" s="16"/>
      <c r="H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customHeight="1" spans="1:29">
      <c r="A248" s="16"/>
      <c r="B248" s="16"/>
      <c r="C248" s="16"/>
      <c r="D248" s="16"/>
      <c r="E248" s="16"/>
      <c r="F248" s="16"/>
      <c r="G248" s="16"/>
      <c r="H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 customHeight="1" spans="1:29">
      <c r="A249" s="16"/>
      <c r="B249" s="16"/>
      <c r="C249" s="16"/>
      <c r="D249" s="16"/>
      <c r="E249" s="16"/>
      <c r="F249" s="16"/>
      <c r="G249" s="16"/>
      <c r="H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customHeight="1" spans="1:29">
      <c r="A250" s="16"/>
      <c r="B250" s="16"/>
      <c r="C250" s="16"/>
      <c r="D250" s="16"/>
      <c r="E250" s="16"/>
      <c r="F250" s="16"/>
      <c r="G250" s="16"/>
      <c r="H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 customHeight="1" spans="1:29">
      <c r="A251" s="16"/>
      <c r="B251" s="16"/>
      <c r="C251" s="16"/>
      <c r="D251" s="16"/>
      <c r="E251" s="16"/>
      <c r="F251" s="16"/>
      <c r="G251" s="16"/>
      <c r="H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customHeight="1" spans="1:29">
      <c r="A252" s="16"/>
      <c r="B252" s="16"/>
      <c r="C252" s="16"/>
      <c r="D252" s="16"/>
      <c r="E252" s="16"/>
      <c r="F252" s="16"/>
      <c r="G252" s="16"/>
      <c r="H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 customHeight="1" spans="1:29">
      <c r="A253" s="16"/>
      <c r="B253" s="16"/>
      <c r="C253" s="16"/>
      <c r="D253" s="16"/>
      <c r="E253" s="16"/>
      <c r="F253" s="16"/>
      <c r="G253" s="16"/>
      <c r="H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 customHeight="1" spans="1:29">
      <c r="A254" s="16"/>
      <c r="B254" s="16"/>
      <c r="C254" s="16"/>
      <c r="D254" s="16"/>
      <c r="E254" s="16"/>
      <c r="F254" s="16"/>
      <c r="G254" s="16"/>
      <c r="H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 customHeight="1" spans="1:29">
      <c r="A255" s="16"/>
      <c r="B255" s="16"/>
      <c r="C255" s="16"/>
      <c r="D255" s="16"/>
      <c r="E255" s="16"/>
      <c r="F255" s="16"/>
      <c r="G255" s="16"/>
      <c r="H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 customHeight="1" spans="1:29">
      <c r="A256" s="16"/>
      <c r="B256" s="16"/>
      <c r="C256" s="16"/>
      <c r="D256" s="16"/>
      <c r="E256" s="16"/>
      <c r="F256" s="16"/>
      <c r="G256" s="16"/>
      <c r="H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 customHeight="1" spans="1:29">
      <c r="A257" s="16"/>
      <c r="B257" s="16"/>
      <c r="C257" s="16"/>
      <c r="D257" s="16"/>
      <c r="E257" s="16"/>
      <c r="F257" s="16"/>
      <c r="G257" s="16"/>
      <c r="H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 customHeight="1" spans="1:29">
      <c r="A258" s="16"/>
      <c r="B258" s="16"/>
      <c r="C258" s="16"/>
      <c r="D258" s="16"/>
      <c r="E258" s="16"/>
      <c r="F258" s="16"/>
      <c r="G258" s="16"/>
      <c r="H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 customHeight="1" spans="1:29">
      <c r="A259" s="16"/>
      <c r="B259" s="16"/>
      <c r="C259" s="16"/>
      <c r="D259" s="16"/>
      <c r="E259" s="16"/>
      <c r="F259" s="16"/>
      <c r="G259" s="16"/>
      <c r="H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 customHeight="1" spans="1:29">
      <c r="A260" s="16"/>
      <c r="B260" s="16"/>
      <c r="C260" s="16"/>
      <c r="D260" s="16"/>
      <c r="E260" s="16"/>
      <c r="F260" s="16"/>
      <c r="G260" s="16"/>
      <c r="H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 customHeight="1" spans="1:29">
      <c r="A261" s="16"/>
      <c r="B261" s="16"/>
      <c r="C261" s="16"/>
      <c r="D261" s="16"/>
      <c r="E261" s="16"/>
      <c r="F261" s="16"/>
      <c r="G261" s="16"/>
      <c r="H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 customHeight="1" spans="1:29">
      <c r="A262" s="16"/>
      <c r="B262" s="16"/>
      <c r="C262" s="16"/>
      <c r="D262" s="16"/>
      <c r="E262" s="16"/>
      <c r="F262" s="16"/>
      <c r="G262" s="16"/>
      <c r="H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 customHeight="1" spans="1:29">
      <c r="A263" s="16"/>
      <c r="B263" s="16"/>
      <c r="C263" s="16"/>
      <c r="D263" s="16"/>
      <c r="E263" s="16"/>
      <c r="F263" s="16"/>
      <c r="G263" s="16"/>
      <c r="H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customHeight="1" spans="1:29">
      <c r="A264" s="16"/>
      <c r="B264" s="16"/>
      <c r="C264" s="16"/>
      <c r="D264" s="16"/>
      <c r="E264" s="16"/>
      <c r="F264" s="16"/>
      <c r="G264" s="16"/>
      <c r="H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 customHeight="1" spans="1:29">
      <c r="A265" s="16"/>
      <c r="B265" s="16"/>
      <c r="C265" s="16"/>
      <c r="D265" s="16"/>
      <c r="E265" s="16"/>
      <c r="F265" s="16"/>
      <c r="G265" s="16"/>
      <c r="H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customHeight="1" spans="1:29">
      <c r="A266" s="16"/>
      <c r="B266" s="16"/>
      <c r="C266" s="16"/>
      <c r="D266" s="16"/>
      <c r="E266" s="16"/>
      <c r="F266" s="16"/>
      <c r="G266" s="16"/>
      <c r="H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 customHeight="1" spans="1:29">
      <c r="A267" s="16"/>
      <c r="B267" s="16"/>
      <c r="C267" s="16"/>
      <c r="D267" s="16"/>
      <c r="E267" s="16"/>
      <c r="F267" s="16"/>
      <c r="G267" s="16"/>
      <c r="H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customHeight="1" spans="1:29">
      <c r="A268" s="16"/>
      <c r="B268" s="16"/>
      <c r="C268" s="16"/>
      <c r="D268" s="16"/>
      <c r="E268" s="16"/>
      <c r="F268" s="16"/>
      <c r="G268" s="16"/>
      <c r="H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 customHeight="1" spans="1:29">
      <c r="A269" s="16"/>
      <c r="B269" s="16"/>
      <c r="C269" s="16"/>
      <c r="D269" s="16"/>
      <c r="E269" s="16"/>
      <c r="F269" s="16"/>
      <c r="G269" s="16"/>
      <c r="H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customHeight="1" spans="1:29">
      <c r="A270" s="16"/>
      <c r="B270" s="16"/>
      <c r="C270" s="16"/>
      <c r="D270" s="16"/>
      <c r="E270" s="16"/>
      <c r="F270" s="16"/>
      <c r="G270" s="16"/>
      <c r="H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 customHeight="1" spans="1:29">
      <c r="A271" s="16"/>
      <c r="B271" s="16"/>
      <c r="C271" s="16"/>
      <c r="D271" s="16"/>
      <c r="E271" s="16"/>
      <c r="F271" s="16"/>
      <c r="G271" s="16"/>
      <c r="H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customHeight="1" spans="1:29">
      <c r="A272" s="16"/>
      <c r="B272" s="16"/>
      <c r="C272" s="16"/>
      <c r="D272" s="16"/>
      <c r="E272" s="16"/>
      <c r="F272" s="16"/>
      <c r="G272" s="16"/>
      <c r="H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 customHeight="1" spans="1:29">
      <c r="A273" s="16"/>
      <c r="B273" s="16"/>
      <c r="C273" s="16"/>
      <c r="D273" s="16"/>
      <c r="E273" s="16"/>
      <c r="F273" s="16"/>
      <c r="G273" s="16"/>
      <c r="H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customHeight="1" spans="1:29">
      <c r="A274" s="16"/>
      <c r="B274" s="16"/>
      <c r="C274" s="16"/>
      <c r="D274" s="16"/>
      <c r="E274" s="16"/>
      <c r="F274" s="16"/>
      <c r="G274" s="16"/>
      <c r="H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 customHeight="1" spans="1:29">
      <c r="A275" s="16"/>
      <c r="B275" s="16"/>
      <c r="C275" s="16"/>
      <c r="D275" s="16"/>
      <c r="E275" s="16"/>
      <c r="F275" s="16"/>
      <c r="G275" s="16"/>
      <c r="H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customHeight="1" spans="1:29">
      <c r="A276" s="16"/>
      <c r="B276" s="16"/>
      <c r="C276" s="16"/>
      <c r="D276" s="16"/>
      <c r="E276" s="16"/>
      <c r="F276" s="16"/>
      <c r="G276" s="16"/>
      <c r="H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 customHeight="1" spans="1:29">
      <c r="A277" s="16"/>
      <c r="B277" s="16"/>
      <c r="C277" s="16"/>
      <c r="D277" s="16"/>
      <c r="E277" s="16"/>
      <c r="F277" s="16"/>
      <c r="G277" s="16"/>
      <c r="H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 customHeight="1" spans="1:29">
      <c r="A278" s="16"/>
      <c r="B278" s="16"/>
      <c r="C278" s="16"/>
      <c r="D278" s="16"/>
      <c r="E278" s="16"/>
      <c r="F278" s="16"/>
      <c r="G278" s="16"/>
      <c r="H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 customHeight="1" spans="1:29">
      <c r="A279" s="16"/>
      <c r="B279" s="16"/>
      <c r="C279" s="16"/>
      <c r="D279" s="16"/>
      <c r="E279" s="16"/>
      <c r="F279" s="16"/>
      <c r="G279" s="16"/>
      <c r="H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customHeight="1" spans="1:29">
      <c r="A280" s="16"/>
      <c r="B280" s="16"/>
      <c r="C280" s="16"/>
      <c r="D280" s="16"/>
      <c r="E280" s="16"/>
      <c r="F280" s="16"/>
      <c r="G280" s="16"/>
      <c r="H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 customHeight="1" spans="1:29">
      <c r="A281" s="16"/>
      <c r="B281" s="16"/>
      <c r="C281" s="16"/>
      <c r="D281" s="16"/>
      <c r="E281" s="16"/>
      <c r="F281" s="16"/>
      <c r="G281" s="16"/>
      <c r="H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 customHeight="1" spans="1:29">
      <c r="A282" s="16"/>
      <c r="B282" s="16"/>
      <c r="C282" s="16"/>
      <c r="D282" s="16"/>
      <c r="E282" s="16"/>
      <c r="F282" s="16"/>
      <c r="G282" s="16"/>
      <c r="H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 customHeight="1" spans="1:29">
      <c r="A283" s="16"/>
      <c r="B283" s="16"/>
      <c r="C283" s="16"/>
      <c r="D283" s="16"/>
      <c r="E283" s="16"/>
      <c r="F283" s="16"/>
      <c r="G283" s="16"/>
      <c r="H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 customHeight="1" spans="1:29">
      <c r="A284" s="16"/>
      <c r="B284" s="16"/>
      <c r="C284" s="16"/>
      <c r="D284" s="16"/>
      <c r="E284" s="16"/>
      <c r="F284" s="16"/>
      <c r="G284" s="16"/>
      <c r="H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 customHeight="1" spans="1:29">
      <c r="A285" s="16"/>
      <c r="B285" s="16"/>
      <c r="C285" s="16"/>
      <c r="D285" s="16"/>
      <c r="E285" s="16"/>
      <c r="F285" s="16"/>
      <c r="G285" s="16"/>
      <c r="H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 customHeight="1" spans="1:29">
      <c r="A286" s="16"/>
      <c r="B286" s="16"/>
      <c r="C286" s="16"/>
      <c r="D286" s="16"/>
      <c r="E286" s="16"/>
      <c r="F286" s="16"/>
      <c r="G286" s="16"/>
      <c r="H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 customHeight="1" spans="1:29">
      <c r="A287" s="16"/>
      <c r="B287" s="16"/>
      <c r="C287" s="16"/>
      <c r="D287" s="16"/>
      <c r="E287" s="16"/>
      <c r="F287" s="16"/>
      <c r="G287" s="16"/>
      <c r="H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customHeight="1" spans="1:29">
      <c r="A288" s="16"/>
      <c r="B288" s="16"/>
      <c r="C288" s="16"/>
      <c r="D288" s="16"/>
      <c r="E288" s="16"/>
      <c r="F288" s="16"/>
      <c r="G288" s="16"/>
      <c r="H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customHeight="1" spans="1:29">
      <c r="A289" s="16"/>
      <c r="B289" s="16"/>
      <c r="C289" s="16"/>
      <c r="D289" s="16"/>
      <c r="E289" s="16"/>
      <c r="F289" s="16"/>
      <c r="G289" s="16"/>
      <c r="H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customHeight="1" spans="1:29">
      <c r="A290" s="16"/>
      <c r="B290" s="16"/>
      <c r="C290" s="16"/>
      <c r="D290" s="16"/>
      <c r="E290" s="16"/>
      <c r="F290" s="16"/>
      <c r="G290" s="16"/>
      <c r="H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customHeight="1" spans="1:29">
      <c r="A291" s="16"/>
      <c r="B291" s="16"/>
      <c r="C291" s="16"/>
      <c r="D291" s="16"/>
      <c r="E291" s="16"/>
      <c r="F291" s="16"/>
      <c r="G291" s="16"/>
      <c r="H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customHeight="1" spans="1:29">
      <c r="A292" s="16"/>
      <c r="B292" s="16"/>
      <c r="C292" s="16"/>
      <c r="D292" s="16"/>
      <c r="E292" s="16"/>
      <c r="F292" s="16"/>
      <c r="G292" s="16"/>
      <c r="H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 customHeight="1" spans="1:29">
      <c r="A293" s="16"/>
      <c r="B293" s="16"/>
      <c r="C293" s="16"/>
      <c r="D293" s="16"/>
      <c r="E293" s="16"/>
      <c r="F293" s="16"/>
      <c r="G293" s="16"/>
      <c r="H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 customHeight="1" spans="1:29">
      <c r="A294" s="16"/>
      <c r="B294" s="16"/>
      <c r="C294" s="16"/>
      <c r="D294" s="16"/>
      <c r="E294" s="16"/>
      <c r="F294" s="16"/>
      <c r="G294" s="16"/>
      <c r="H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 customHeight="1" spans="1:29">
      <c r="A295" s="16"/>
      <c r="B295" s="16"/>
      <c r="C295" s="16"/>
      <c r="D295" s="16"/>
      <c r="E295" s="16"/>
      <c r="F295" s="16"/>
      <c r="G295" s="16"/>
      <c r="H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 customHeight="1" spans="1:29">
      <c r="A296" s="16"/>
      <c r="B296" s="16"/>
      <c r="C296" s="16"/>
      <c r="D296" s="16"/>
      <c r="E296" s="16"/>
      <c r="F296" s="16"/>
      <c r="G296" s="16"/>
      <c r="H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 customHeight="1" spans="1:29">
      <c r="A297" s="16"/>
      <c r="B297" s="16"/>
      <c r="C297" s="16"/>
      <c r="D297" s="16"/>
      <c r="E297" s="16"/>
      <c r="F297" s="16"/>
      <c r="G297" s="16"/>
      <c r="H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 customHeight="1" spans="1:29">
      <c r="A298" s="16"/>
      <c r="B298" s="16"/>
      <c r="C298" s="16"/>
      <c r="D298" s="16"/>
      <c r="E298" s="16"/>
      <c r="F298" s="16"/>
      <c r="G298" s="16"/>
      <c r="H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customHeight="1" spans="1:29">
      <c r="A299" s="16"/>
      <c r="B299" s="16"/>
      <c r="C299" s="16"/>
      <c r="D299" s="16"/>
      <c r="E299" s="16"/>
      <c r="F299" s="16"/>
      <c r="G299" s="16"/>
      <c r="H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 customHeight="1" spans="1:29">
      <c r="A300" s="16"/>
      <c r="B300" s="16"/>
      <c r="C300" s="16"/>
      <c r="D300" s="16"/>
      <c r="E300" s="16"/>
      <c r="F300" s="16"/>
      <c r="G300" s="16"/>
      <c r="H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 customHeight="1" spans="1:29">
      <c r="A301" s="16"/>
      <c r="B301" s="16"/>
      <c r="C301" s="16"/>
      <c r="D301" s="16"/>
      <c r="E301" s="16"/>
      <c r="F301" s="16"/>
      <c r="G301" s="16"/>
      <c r="H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 customHeight="1" spans="1:29">
      <c r="A302" s="16"/>
      <c r="B302" s="16"/>
      <c r="C302" s="16"/>
      <c r="D302" s="16"/>
      <c r="E302" s="16"/>
      <c r="F302" s="16"/>
      <c r="G302" s="16"/>
      <c r="H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 customHeight="1" spans="1:29">
      <c r="A303" s="16"/>
      <c r="B303" s="16"/>
      <c r="C303" s="16"/>
      <c r="D303" s="16"/>
      <c r="E303" s="16"/>
      <c r="F303" s="16"/>
      <c r="G303" s="16"/>
      <c r="H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 customHeight="1" spans="1:29">
      <c r="A304" s="16"/>
      <c r="B304" s="16"/>
      <c r="C304" s="16"/>
      <c r="D304" s="16"/>
      <c r="E304" s="16"/>
      <c r="F304" s="16"/>
      <c r="G304" s="16"/>
      <c r="H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 customHeight="1" spans="1:29">
      <c r="A305" s="16"/>
      <c r="B305" s="16"/>
      <c r="C305" s="16"/>
      <c r="D305" s="16"/>
      <c r="E305" s="16"/>
      <c r="F305" s="16"/>
      <c r="G305" s="16"/>
      <c r="H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 customHeight="1" spans="1:29">
      <c r="A306" s="16"/>
      <c r="B306" s="16"/>
      <c r="C306" s="16"/>
      <c r="D306" s="16"/>
      <c r="E306" s="16"/>
      <c r="F306" s="16"/>
      <c r="G306" s="16"/>
      <c r="H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 customHeight="1" spans="1:29">
      <c r="A307" s="16"/>
      <c r="B307" s="16"/>
      <c r="C307" s="16"/>
      <c r="D307" s="16"/>
      <c r="E307" s="16"/>
      <c r="F307" s="16"/>
      <c r="G307" s="16"/>
      <c r="H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 customHeight="1" spans="1:29">
      <c r="A308" s="16"/>
      <c r="B308" s="16"/>
      <c r="C308" s="16"/>
      <c r="D308" s="16"/>
      <c r="E308" s="16"/>
      <c r="F308" s="16"/>
      <c r="G308" s="16"/>
      <c r="H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 customHeight="1" spans="1:29">
      <c r="A309" s="16"/>
      <c r="B309" s="16"/>
      <c r="C309" s="16"/>
      <c r="D309" s="16"/>
      <c r="E309" s="16"/>
      <c r="F309" s="16"/>
      <c r="G309" s="16"/>
      <c r="H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 customHeight="1" spans="1:29">
      <c r="A310" s="16"/>
      <c r="B310" s="16"/>
      <c r="C310" s="16"/>
      <c r="D310" s="16"/>
      <c r="E310" s="16"/>
      <c r="F310" s="16"/>
      <c r="G310" s="16"/>
      <c r="H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 customHeight="1" spans="1:29">
      <c r="A311" s="16"/>
      <c r="B311" s="16"/>
      <c r="C311" s="16"/>
      <c r="D311" s="16"/>
      <c r="E311" s="16"/>
      <c r="F311" s="16"/>
      <c r="G311" s="16"/>
      <c r="H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 customHeight="1" spans="1:29">
      <c r="A312" s="16"/>
      <c r="B312" s="16"/>
      <c r="C312" s="16"/>
      <c r="D312" s="16"/>
      <c r="E312" s="16"/>
      <c r="F312" s="16"/>
      <c r="G312" s="16"/>
      <c r="H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 customHeight="1" spans="1:29">
      <c r="A313" s="16"/>
      <c r="B313" s="16"/>
      <c r="C313" s="16"/>
      <c r="D313" s="16"/>
      <c r="E313" s="16"/>
      <c r="F313" s="16"/>
      <c r="G313" s="16"/>
      <c r="H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 customHeight="1" spans="1:29">
      <c r="A314" s="16"/>
      <c r="B314" s="16"/>
      <c r="C314" s="16"/>
      <c r="D314" s="16"/>
      <c r="E314" s="16"/>
      <c r="F314" s="16"/>
      <c r="G314" s="16"/>
      <c r="H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 customHeight="1" spans="1:29">
      <c r="A315" s="16"/>
      <c r="B315" s="16"/>
      <c r="C315" s="16"/>
      <c r="D315" s="16"/>
      <c r="E315" s="16"/>
      <c r="F315" s="16"/>
      <c r="G315" s="16"/>
      <c r="H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 customHeight="1" spans="1:29">
      <c r="A316" s="16"/>
      <c r="B316" s="16"/>
      <c r="C316" s="16"/>
      <c r="D316" s="16"/>
      <c r="E316" s="16"/>
      <c r="F316" s="16"/>
      <c r="G316" s="16"/>
      <c r="H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 customHeight="1" spans="1:29">
      <c r="A317" s="16"/>
      <c r="B317" s="16"/>
      <c r="C317" s="16"/>
      <c r="D317" s="16"/>
      <c r="E317" s="16"/>
      <c r="F317" s="16"/>
      <c r="G317" s="16"/>
      <c r="H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 customHeight="1" spans="1:29">
      <c r="A318" s="16"/>
      <c r="B318" s="16"/>
      <c r="C318" s="16"/>
      <c r="D318" s="16"/>
      <c r="E318" s="16"/>
      <c r="F318" s="16"/>
      <c r="G318" s="16"/>
      <c r="H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 customHeight="1" spans="1:29">
      <c r="A319" s="16"/>
      <c r="B319" s="16"/>
      <c r="C319" s="16"/>
      <c r="D319" s="16"/>
      <c r="E319" s="16"/>
      <c r="F319" s="16"/>
      <c r="G319" s="16"/>
      <c r="H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 customHeight="1" spans="1:29">
      <c r="A320" s="16"/>
      <c r="B320" s="16"/>
      <c r="C320" s="16"/>
      <c r="D320" s="16"/>
      <c r="E320" s="16"/>
      <c r="F320" s="16"/>
      <c r="G320" s="16"/>
      <c r="H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 customHeight="1" spans="1:29">
      <c r="A321" s="16"/>
      <c r="B321" s="16"/>
      <c r="C321" s="16"/>
      <c r="D321" s="16"/>
      <c r="E321" s="16"/>
      <c r="F321" s="16"/>
      <c r="G321" s="16"/>
      <c r="H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 customHeight="1" spans="1:29">
      <c r="A322" s="16"/>
      <c r="B322" s="16"/>
      <c r="C322" s="16"/>
      <c r="D322" s="16"/>
      <c r="E322" s="16"/>
      <c r="F322" s="16"/>
      <c r="G322" s="16"/>
      <c r="H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 customHeight="1" spans="1:29">
      <c r="A323" s="16"/>
      <c r="B323" s="16"/>
      <c r="C323" s="16"/>
      <c r="D323" s="16"/>
      <c r="E323" s="16"/>
      <c r="F323" s="16"/>
      <c r="G323" s="16"/>
      <c r="H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 customHeight="1" spans="1:29">
      <c r="A324" s="16"/>
      <c r="B324" s="16"/>
      <c r="C324" s="16"/>
      <c r="D324" s="16"/>
      <c r="E324" s="16"/>
      <c r="F324" s="16"/>
      <c r="G324" s="16"/>
      <c r="H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 customHeight="1" spans="1:29">
      <c r="A325" s="16"/>
      <c r="B325" s="16"/>
      <c r="C325" s="16"/>
      <c r="D325" s="16"/>
      <c r="E325" s="16"/>
      <c r="F325" s="16"/>
      <c r="G325" s="16"/>
      <c r="H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 customHeight="1" spans="1:29">
      <c r="A326" s="16"/>
      <c r="B326" s="16"/>
      <c r="C326" s="16"/>
      <c r="D326" s="16"/>
      <c r="E326" s="16"/>
      <c r="F326" s="16"/>
      <c r="G326" s="16"/>
      <c r="H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 customHeight="1" spans="1:29">
      <c r="A327" s="16"/>
      <c r="B327" s="16"/>
      <c r="C327" s="16"/>
      <c r="D327" s="16"/>
      <c r="E327" s="16"/>
      <c r="F327" s="16"/>
      <c r="G327" s="16"/>
      <c r="H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 customHeight="1" spans="1:29">
      <c r="A328" s="16"/>
      <c r="B328" s="16"/>
      <c r="C328" s="16"/>
      <c r="D328" s="16"/>
      <c r="E328" s="16"/>
      <c r="F328" s="16"/>
      <c r="G328" s="16"/>
      <c r="H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 customHeight="1" spans="1:29">
      <c r="A329" s="16"/>
      <c r="B329" s="16"/>
      <c r="C329" s="16"/>
      <c r="D329" s="16"/>
      <c r="E329" s="16"/>
      <c r="F329" s="16"/>
      <c r="G329" s="16"/>
      <c r="H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 customHeight="1" spans="1:29">
      <c r="A330" s="16"/>
      <c r="B330" s="16"/>
      <c r="C330" s="16"/>
      <c r="D330" s="16"/>
      <c r="E330" s="16"/>
      <c r="F330" s="16"/>
      <c r="G330" s="16"/>
      <c r="H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 customHeight="1" spans="1:29">
      <c r="A331" s="16"/>
      <c r="B331" s="16"/>
      <c r="C331" s="16"/>
      <c r="D331" s="16"/>
      <c r="E331" s="16"/>
      <c r="F331" s="16"/>
      <c r="G331" s="16"/>
      <c r="H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 customHeight="1" spans="1:29">
      <c r="A332" s="16"/>
      <c r="B332" s="16"/>
      <c r="C332" s="16"/>
      <c r="D332" s="16"/>
      <c r="E332" s="16"/>
      <c r="F332" s="16"/>
      <c r="G332" s="16"/>
      <c r="H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 customHeight="1" spans="1:29">
      <c r="A333" s="16"/>
      <c r="B333" s="16"/>
      <c r="C333" s="16"/>
      <c r="D333" s="16"/>
      <c r="E333" s="16"/>
      <c r="F333" s="16"/>
      <c r="G333" s="16"/>
      <c r="H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 customHeight="1" spans="1:29">
      <c r="A334" s="16"/>
      <c r="B334" s="16"/>
      <c r="C334" s="16"/>
      <c r="D334" s="16"/>
      <c r="E334" s="16"/>
      <c r="F334" s="16"/>
      <c r="G334" s="16"/>
      <c r="H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 customHeight="1" spans="1:29">
      <c r="A335" s="16"/>
      <c r="B335" s="16"/>
      <c r="C335" s="16"/>
      <c r="D335" s="16"/>
      <c r="E335" s="16"/>
      <c r="F335" s="16"/>
      <c r="G335" s="16"/>
      <c r="H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 customHeight="1" spans="1:29">
      <c r="A336" s="16"/>
      <c r="B336" s="16"/>
      <c r="C336" s="16"/>
      <c r="D336" s="16"/>
      <c r="E336" s="16"/>
      <c r="F336" s="16"/>
      <c r="G336" s="16"/>
      <c r="H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 customHeight="1" spans="1:29">
      <c r="A337" s="16"/>
      <c r="B337" s="16"/>
      <c r="C337" s="16"/>
      <c r="D337" s="16"/>
      <c r="E337" s="16"/>
      <c r="F337" s="16"/>
      <c r="G337" s="16"/>
      <c r="H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 customHeight="1" spans="1:29">
      <c r="A338" s="16"/>
      <c r="B338" s="16"/>
      <c r="C338" s="16"/>
      <c r="D338" s="16"/>
      <c r="E338" s="16"/>
      <c r="F338" s="16"/>
      <c r="G338" s="16"/>
      <c r="H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 customHeight="1" spans="1:29">
      <c r="A339" s="16"/>
      <c r="B339" s="16"/>
      <c r="C339" s="16"/>
      <c r="D339" s="16"/>
      <c r="E339" s="16"/>
      <c r="F339" s="16"/>
      <c r="G339" s="16"/>
      <c r="H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 customHeight="1" spans="1:29">
      <c r="A340" s="16"/>
      <c r="B340" s="16"/>
      <c r="C340" s="16"/>
      <c r="D340" s="16"/>
      <c r="E340" s="16"/>
      <c r="F340" s="16"/>
      <c r="G340" s="16"/>
      <c r="H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 customHeight="1" spans="1:29">
      <c r="A341" s="16"/>
      <c r="B341" s="16"/>
      <c r="C341" s="16"/>
      <c r="D341" s="16"/>
      <c r="E341" s="16"/>
      <c r="F341" s="16"/>
      <c r="G341" s="16"/>
      <c r="H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 customHeight="1" spans="1:29">
      <c r="A342" s="16"/>
      <c r="B342" s="16"/>
      <c r="C342" s="16"/>
      <c r="D342" s="16"/>
      <c r="E342" s="16"/>
      <c r="F342" s="16"/>
      <c r="G342" s="16"/>
      <c r="H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 customHeight="1" spans="1:29">
      <c r="A343" s="16"/>
      <c r="B343" s="16"/>
      <c r="C343" s="16"/>
      <c r="D343" s="16"/>
      <c r="E343" s="16"/>
      <c r="F343" s="16"/>
      <c r="G343" s="16"/>
      <c r="H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 customHeight="1" spans="1:29">
      <c r="A344" s="16"/>
      <c r="B344" s="16"/>
      <c r="C344" s="16"/>
      <c r="D344" s="16"/>
      <c r="E344" s="16"/>
      <c r="F344" s="16"/>
      <c r="G344" s="16"/>
      <c r="H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 customHeight="1" spans="1:29">
      <c r="A345" s="16"/>
      <c r="B345" s="16"/>
      <c r="C345" s="16"/>
      <c r="D345" s="16"/>
      <c r="E345" s="16"/>
      <c r="F345" s="16"/>
      <c r="G345" s="16"/>
      <c r="H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 customHeight="1" spans="1:29">
      <c r="A346" s="16"/>
      <c r="B346" s="16"/>
      <c r="C346" s="16"/>
      <c r="D346" s="16"/>
      <c r="E346" s="16"/>
      <c r="F346" s="16"/>
      <c r="G346" s="16"/>
      <c r="H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 customHeight="1" spans="1:29">
      <c r="A347" s="16"/>
      <c r="B347" s="16"/>
      <c r="C347" s="16"/>
      <c r="D347" s="16"/>
      <c r="E347" s="16"/>
      <c r="F347" s="16"/>
      <c r="G347" s="16"/>
      <c r="H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 customHeight="1" spans="1:29">
      <c r="A348" s="16"/>
      <c r="B348" s="16"/>
      <c r="C348" s="16"/>
      <c r="D348" s="16"/>
      <c r="E348" s="16"/>
      <c r="F348" s="16"/>
      <c r="G348" s="16"/>
      <c r="H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 customHeight="1" spans="1:29">
      <c r="A349" s="16"/>
      <c r="B349" s="16"/>
      <c r="C349" s="16"/>
      <c r="D349" s="16"/>
      <c r="E349" s="16"/>
      <c r="F349" s="16"/>
      <c r="G349" s="16"/>
      <c r="H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 customHeight="1" spans="1:29">
      <c r="A350" s="16"/>
      <c r="B350" s="16"/>
      <c r="C350" s="16"/>
      <c r="D350" s="16"/>
      <c r="E350" s="16"/>
      <c r="F350" s="16"/>
      <c r="G350" s="16"/>
      <c r="H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 customHeight="1" spans="1:29">
      <c r="A351" s="16"/>
      <c r="B351" s="16"/>
      <c r="C351" s="16"/>
      <c r="D351" s="16"/>
      <c r="E351" s="16"/>
      <c r="F351" s="16"/>
      <c r="G351" s="16"/>
      <c r="H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 customHeight="1" spans="1:29">
      <c r="A352" s="16"/>
      <c r="B352" s="16"/>
      <c r="C352" s="16"/>
      <c r="D352" s="16"/>
      <c r="E352" s="16"/>
      <c r="F352" s="16"/>
      <c r="G352" s="16"/>
      <c r="H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 customHeight="1" spans="1:29">
      <c r="A353" s="16"/>
      <c r="B353" s="16"/>
      <c r="C353" s="16"/>
      <c r="D353" s="16"/>
      <c r="E353" s="16"/>
      <c r="F353" s="16"/>
      <c r="G353" s="16"/>
      <c r="H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 customHeight="1" spans="1:29">
      <c r="A354" s="16"/>
      <c r="B354" s="16"/>
      <c r="C354" s="16"/>
      <c r="D354" s="16"/>
      <c r="E354" s="16"/>
      <c r="F354" s="16"/>
      <c r="G354" s="16"/>
      <c r="H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 customHeight="1" spans="1:29">
      <c r="A355" s="16"/>
      <c r="B355" s="16"/>
      <c r="C355" s="16"/>
      <c r="D355" s="16"/>
      <c r="E355" s="16"/>
      <c r="F355" s="16"/>
      <c r="G355" s="16"/>
      <c r="H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 customHeight="1" spans="1:29">
      <c r="A356" s="16"/>
      <c r="B356" s="16"/>
      <c r="C356" s="16"/>
      <c r="D356" s="16"/>
      <c r="E356" s="16"/>
      <c r="F356" s="16"/>
      <c r="G356" s="16"/>
      <c r="H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 customHeight="1" spans="1:29">
      <c r="A357" s="16"/>
      <c r="B357" s="16"/>
      <c r="C357" s="16"/>
      <c r="D357" s="16"/>
      <c r="E357" s="16"/>
      <c r="F357" s="16"/>
      <c r="G357" s="16"/>
      <c r="H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 customHeight="1" spans="1:29">
      <c r="A358" s="16"/>
      <c r="B358" s="16"/>
      <c r="C358" s="16"/>
      <c r="D358" s="16"/>
      <c r="E358" s="16"/>
      <c r="F358" s="16"/>
      <c r="G358" s="16"/>
      <c r="H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 customHeight="1" spans="1:29">
      <c r="A359" s="16"/>
      <c r="B359" s="16"/>
      <c r="C359" s="16"/>
      <c r="D359" s="16"/>
      <c r="E359" s="16"/>
      <c r="F359" s="16"/>
      <c r="G359" s="16"/>
      <c r="H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 customHeight="1" spans="1:29">
      <c r="A360" s="16"/>
      <c r="B360" s="16"/>
      <c r="C360" s="16"/>
      <c r="D360" s="16"/>
      <c r="E360" s="16"/>
      <c r="F360" s="16"/>
      <c r="G360" s="16"/>
      <c r="H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 customHeight="1" spans="1:29">
      <c r="A361" s="16"/>
      <c r="B361" s="16"/>
      <c r="C361" s="16"/>
      <c r="D361" s="16"/>
      <c r="E361" s="16"/>
      <c r="F361" s="16"/>
      <c r="G361" s="16"/>
      <c r="H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 customHeight="1" spans="1:29">
      <c r="A362" s="16"/>
      <c r="B362" s="16"/>
      <c r="C362" s="16"/>
      <c r="D362" s="16"/>
      <c r="E362" s="16"/>
      <c r="F362" s="16"/>
      <c r="G362" s="16"/>
      <c r="H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 customHeight="1" spans="1:29">
      <c r="A363" s="16"/>
      <c r="B363" s="16"/>
      <c r="C363" s="16"/>
      <c r="D363" s="16"/>
      <c r="E363" s="16"/>
      <c r="F363" s="16"/>
      <c r="G363" s="16"/>
      <c r="H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 customHeight="1" spans="1:29">
      <c r="A364" s="16"/>
      <c r="B364" s="16"/>
      <c r="C364" s="16"/>
      <c r="D364" s="16"/>
      <c r="E364" s="16"/>
      <c r="F364" s="16"/>
      <c r="G364" s="16"/>
      <c r="H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 customHeight="1" spans="1:29">
      <c r="A365" s="16"/>
      <c r="B365" s="16"/>
      <c r="C365" s="16"/>
      <c r="D365" s="16"/>
      <c r="E365" s="16"/>
      <c r="F365" s="16"/>
      <c r="G365" s="16"/>
      <c r="H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 customHeight="1" spans="1:29">
      <c r="A366" s="16"/>
      <c r="B366" s="16"/>
      <c r="C366" s="16"/>
      <c r="D366" s="16"/>
      <c r="E366" s="16"/>
      <c r="F366" s="16"/>
      <c r="G366" s="16"/>
      <c r="H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 customHeight="1" spans="1:29">
      <c r="A367" s="16"/>
      <c r="B367" s="16"/>
      <c r="C367" s="16"/>
      <c r="D367" s="16"/>
      <c r="E367" s="16"/>
      <c r="F367" s="16"/>
      <c r="G367" s="16"/>
      <c r="H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 customHeight="1" spans="1:29">
      <c r="A368" s="16"/>
      <c r="B368" s="16"/>
      <c r="C368" s="16"/>
      <c r="D368" s="16"/>
      <c r="E368" s="16"/>
      <c r="F368" s="16"/>
      <c r="G368" s="16"/>
      <c r="H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 customHeight="1" spans="1:29">
      <c r="A369" s="16"/>
      <c r="B369" s="16"/>
      <c r="C369" s="16"/>
      <c r="D369" s="16"/>
      <c r="E369" s="16"/>
      <c r="F369" s="16"/>
      <c r="G369" s="16"/>
      <c r="H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 customHeight="1" spans="1:29">
      <c r="A370" s="16"/>
      <c r="B370" s="16"/>
      <c r="C370" s="16"/>
      <c r="D370" s="16"/>
      <c r="E370" s="16"/>
      <c r="F370" s="16"/>
      <c r="G370" s="16"/>
      <c r="H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 customHeight="1" spans="1:29">
      <c r="A371" s="16"/>
      <c r="B371" s="16"/>
      <c r="C371" s="16"/>
      <c r="D371" s="16"/>
      <c r="E371" s="16"/>
      <c r="F371" s="16"/>
      <c r="G371" s="16"/>
      <c r="H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 customHeight="1" spans="1:29">
      <c r="A372" s="16"/>
      <c r="B372" s="16"/>
      <c r="C372" s="16"/>
      <c r="D372" s="16"/>
      <c r="E372" s="16"/>
      <c r="F372" s="16"/>
      <c r="G372" s="16"/>
      <c r="H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 customHeight="1" spans="1:29">
      <c r="A373" s="16"/>
      <c r="B373" s="16"/>
      <c r="C373" s="16"/>
      <c r="D373" s="16"/>
      <c r="E373" s="16"/>
      <c r="F373" s="16"/>
      <c r="G373" s="16"/>
      <c r="H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 customHeight="1" spans="1:29">
      <c r="A374" s="16"/>
      <c r="B374" s="16"/>
      <c r="C374" s="16"/>
      <c r="D374" s="16"/>
      <c r="E374" s="16"/>
      <c r="F374" s="16"/>
      <c r="G374" s="16"/>
      <c r="H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 customHeight="1" spans="1:29">
      <c r="A375" s="16"/>
      <c r="B375" s="16"/>
      <c r="C375" s="16"/>
      <c r="D375" s="16"/>
      <c r="E375" s="16"/>
      <c r="F375" s="16"/>
      <c r="G375" s="16"/>
      <c r="H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 customHeight="1" spans="1:29">
      <c r="A376" s="16"/>
      <c r="B376" s="16"/>
      <c r="C376" s="16"/>
      <c r="D376" s="16"/>
      <c r="E376" s="16"/>
      <c r="F376" s="16"/>
      <c r="G376" s="16"/>
      <c r="H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 customHeight="1" spans="1:29">
      <c r="A377" s="16"/>
      <c r="B377" s="16"/>
      <c r="C377" s="16"/>
      <c r="D377" s="16"/>
      <c r="E377" s="16"/>
      <c r="F377" s="16"/>
      <c r="G377" s="16"/>
      <c r="H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 customHeight="1" spans="1:29">
      <c r="A378" s="16"/>
      <c r="B378" s="16"/>
      <c r="C378" s="16"/>
      <c r="D378" s="16"/>
      <c r="E378" s="16"/>
      <c r="F378" s="16"/>
      <c r="G378" s="16"/>
      <c r="H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 customHeight="1" spans="1:29">
      <c r="A379" s="16"/>
      <c r="B379" s="16"/>
      <c r="C379" s="16"/>
      <c r="D379" s="16"/>
      <c r="E379" s="16"/>
      <c r="F379" s="16"/>
      <c r="G379" s="16"/>
      <c r="H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 customHeight="1" spans="1:29">
      <c r="A380" s="16"/>
      <c r="B380" s="16"/>
      <c r="C380" s="16"/>
      <c r="D380" s="16"/>
      <c r="E380" s="16"/>
      <c r="F380" s="16"/>
      <c r="G380" s="16"/>
      <c r="H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 customHeight="1" spans="1:29">
      <c r="A381" s="16"/>
      <c r="B381" s="16"/>
      <c r="C381" s="16"/>
      <c r="D381" s="16"/>
      <c r="E381" s="16"/>
      <c r="F381" s="16"/>
      <c r="G381" s="16"/>
      <c r="H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 customHeight="1" spans="1:29">
      <c r="A382" s="16"/>
      <c r="B382" s="16"/>
      <c r="C382" s="16"/>
      <c r="D382" s="16"/>
      <c r="E382" s="16"/>
      <c r="F382" s="16"/>
      <c r="G382" s="16"/>
      <c r="H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 customHeight="1" spans="1:29">
      <c r="A383" s="16"/>
      <c r="B383" s="16"/>
      <c r="C383" s="16"/>
      <c r="D383" s="16"/>
      <c r="E383" s="16"/>
      <c r="F383" s="16"/>
      <c r="G383" s="16"/>
      <c r="H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 customHeight="1" spans="1:29">
      <c r="A384" s="16"/>
      <c r="B384" s="16"/>
      <c r="C384" s="16"/>
      <c r="D384" s="16"/>
      <c r="E384" s="16"/>
      <c r="F384" s="16"/>
      <c r="G384" s="16"/>
      <c r="H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 customHeight="1" spans="1:29">
      <c r="A385" s="16"/>
      <c r="B385" s="16"/>
      <c r="C385" s="16"/>
      <c r="D385" s="16"/>
      <c r="E385" s="16"/>
      <c r="F385" s="16"/>
      <c r="G385" s="16"/>
      <c r="H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 customHeight="1" spans="1:29">
      <c r="A386" s="16"/>
      <c r="B386" s="16"/>
      <c r="C386" s="16"/>
      <c r="D386" s="16"/>
      <c r="E386" s="16"/>
      <c r="F386" s="16"/>
      <c r="G386" s="16"/>
      <c r="H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 customHeight="1" spans="1:29">
      <c r="A387" s="16"/>
      <c r="B387" s="16"/>
      <c r="C387" s="16"/>
      <c r="D387" s="16"/>
      <c r="E387" s="16"/>
      <c r="F387" s="16"/>
      <c r="G387" s="16"/>
      <c r="H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 customHeight="1" spans="1:29">
      <c r="A388" s="16"/>
      <c r="B388" s="16"/>
      <c r="C388" s="16"/>
      <c r="D388" s="16"/>
      <c r="E388" s="16"/>
      <c r="F388" s="16"/>
      <c r="G388" s="16"/>
      <c r="H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 customHeight="1" spans="1:29">
      <c r="A389" s="16"/>
      <c r="B389" s="16"/>
      <c r="C389" s="16"/>
      <c r="D389" s="16"/>
      <c r="E389" s="16"/>
      <c r="F389" s="16"/>
      <c r="G389" s="16"/>
      <c r="H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 customHeight="1" spans="1:29">
      <c r="A390" s="16"/>
      <c r="B390" s="16"/>
      <c r="C390" s="16"/>
      <c r="D390" s="16"/>
      <c r="E390" s="16"/>
      <c r="F390" s="16"/>
      <c r="G390" s="16"/>
      <c r="H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 customHeight="1" spans="1:29">
      <c r="A391" s="16"/>
      <c r="B391" s="16"/>
      <c r="C391" s="16"/>
      <c r="D391" s="16"/>
      <c r="E391" s="16"/>
      <c r="F391" s="16"/>
      <c r="G391" s="16"/>
      <c r="H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 customHeight="1" spans="1:29">
      <c r="A392" s="16"/>
      <c r="B392" s="16"/>
      <c r="C392" s="16"/>
      <c r="D392" s="16"/>
      <c r="E392" s="16"/>
      <c r="F392" s="16"/>
      <c r="G392" s="16"/>
      <c r="H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 customHeight="1" spans="1:29">
      <c r="A393" s="16"/>
      <c r="B393" s="16"/>
      <c r="C393" s="16"/>
      <c r="D393" s="16"/>
      <c r="E393" s="16"/>
      <c r="F393" s="16"/>
      <c r="G393" s="16"/>
      <c r="H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 customHeight="1" spans="1:29">
      <c r="A394" s="16"/>
      <c r="B394" s="16"/>
      <c r="C394" s="16"/>
      <c r="D394" s="16"/>
      <c r="E394" s="16"/>
      <c r="F394" s="16"/>
      <c r="G394" s="16"/>
      <c r="H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 customHeight="1" spans="1:29">
      <c r="A395" s="16"/>
      <c r="B395" s="16"/>
      <c r="C395" s="16"/>
      <c r="D395" s="16"/>
      <c r="E395" s="16"/>
      <c r="F395" s="16"/>
      <c r="G395" s="16"/>
      <c r="H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 customHeight="1" spans="1:29">
      <c r="A396" s="16"/>
      <c r="B396" s="16"/>
      <c r="C396" s="16"/>
      <c r="D396" s="16"/>
      <c r="E396" s="16"/>
      <c r="F396" s="16"/>
      <c r="G396" s="16"/>
      <c r="H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 customHeight="1" spans="1:29">
      <c r="A397" s="16"/>
      <c r="B397" s="16"/>
      <c r="C397" s="16"/>
      <c r="D397" s="16"/>
      <c r="E397" s="16"/>
      <c r="F397" s="16"/>
      <c r="G397" s="16"/>
      <c r="H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 customHeight="1" spans="1:29">
      <c r="A398" s="16"/>
      <c r="B398" s="16"/>
      <c r="C398" s="16"/>
      <c r="D398" s="16"/>
      <c r="E398" s="16"/>
      <c r="F398" s="16"/>
      <c r="G398" s="16"/>
      <c r="H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 customHeight="1" spans="1:29">
      <c r="A399" s="16"/>
      <c r="B399" s="16"/>
      <c r="C399" s="16"/>
      <c r="D399" s="16"/>
      <c r="E399" s="16"/>
      <c r="F399" s="16"/>
      <c r="G399" s="16"/>
      <c r="H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 customHeight="1" spans="1:29">
      <c r="A400" s="16"/>
      <c r="B400" s="16"/>
      <c r="C400" s="16"/>
      <c r="D400" s="16"/>
      <c r="E400" s="16"/>
      <c r="F400" s="16"/>
      <c r="G400" s="16"/>
      <c r="H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 customHeight="1" spans="1:29">
      <c r="A401" s="16"/>
      <c r="B401" s="16"/>
      <c r="C401" s="16"/>
      <c r="D401" s="16"/>
      <c r="E401" s="16"/>
      <c r="F401" s="16"/>
      <c r="G401" s="16"/>
      <c r="H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 customHeight="1" spans="1:29">
      <c r="A402" s="16"/>
      <c r="B402" s="16"/>
      <c r="C402" s="16"/>
      <c r="D402" s="16"/>
      <c r="E402" s="16"/>
      <c r="F402" s="16"/>
      <c r="G402" s="16"/>
      <c r="H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 customHeight="1" spans="1:29">
      <c r="A403" s="16"/>
      <c r="B403" s="16"/>
      <c r="C403" s="16"/>
      <c r="D403" s="16"/>
      <c r="E403" s="16"/>
      <c r="F403" s="16"/>
      <c r="G403" s="16"/>
      <c r="H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 customHeight="1" spans="1:29">
      <c r="A404" s="16"/>
      <c r="B404" s="16"/>
      <c r="C404" s="16"/>
      <c r="D404" s="16"/>
      <c r="E404" s="16"/>
      <c r="F404" s="16"/>
      <c r="G404" s="16"/>
      <c r="H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 customHeight="1" spans="1:29">
      <c r="A405" s="16"/>
      <c r="B405" s="16"/>
      <c r="C405" s="16"/>
      <c r="D405" s="16"/>
      <c r="E405" s="16"/>
      <c r="F405" s="16"/>
      <c r="G405" s="16"/>
      <c r="H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 customHeight="1" spans="1:29">
      <c r="A406" s="16"/>
      <c r="B406" s="16"/>
      <c r="C406" s="16"/>
      <c r="D406" s="16"/>
      <c r="E406" s="16"/>
      <c r="F406" s="16"/>
      <c r="G406" s="16"/>
      <c r="H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 customHeight="1" spans="1:29">
      <c r="A407" s="16"/>
      <c r="B407" s="16"/>
      <c r="C407" s="16"/>
      <c r="D407" s="16"/>
      <c r="E407" s="16"/>
      <c r="F407" s="16"/>
      <c r="G407" s="16"/>
      <c r="H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 customHeight="1" spans="1:29">
      <c r="A408" s="16"/>
      <c r="B408" s="16"/>
      <c r="C408" s="16"/>
      <c r="D408" s="16"/>
      <c r="E408" s="16"/>
      <c r="F408" s="16"/>
      <c r="G408" s="16"/>
      <c r="H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 customHeight="1" spans="1:29">
      <c r="A409" s="16"/>
      <c r="B409" s="16"/>
      <c r="C409" s="16"/>
      <c r="D409" s="16"/>
      <c r="E409" s="16"/>
      <c r="F409" s="16"/>
      <c r="G409" s="16"/>
      <c r="H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 customHeight="1" spans="1:29">
      <c r="A410" s="16"/>
      <c r="B410" s="16"/>
      <c r="C410" s="16"/>
      <c r="D410" s="16"/>
      <c r="E410" s="16"/>
      <c r="F410" s="16"/>
      <c r="G410" s="16"/>
      <c r="H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 customHeight="1" spans="1:29">
      <c r="A411" s="16"/>
      <c r="B411" s="16"/>
      <c r="C411" s="16"/>
      <c r="D411" s="16"/>
      <c r="E411" s="16"/>
      <c r="F411" s="16"/>
      <c r="G411" s="16"/>
      <c r="H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 customHeight="1" spans="1:29">
      <c r="A412" s="16"/>
      <c r="B412" s="16"/>
      <c r="C412" s="16"/>
      <c r="D412" s="16"/>
      <c r="E412" s="16"/>
      <c r="F412" s="16"/>
      <c r="G412" s="16"/>
      <c r="H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 customHeight="1" spans="1:29">
      <c r="A413" s="16"/>
      <c r="B413" s="16"/>
      <c r="C413" s="16"/>
      <c r="D413" s="16"/>
      <c r="E413" s="16"/>
      <c r="F413" s="16"/>
      <c r="G413" s="16"/>
      <c r="H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 customHeight="1" spans="1:29">
      <c r="A414" s="16"/>
      <c r="B414" s="16"/>
      <c r="C414" s="16"/>
      <c r="D414" s="16"/>
      <c r="E414" s="16"/>
      <c r="F414" s="16"/>
      <c r="G414" s="16"/>
      <c r="H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 customHeight="1" spans="1:29">
      <c r="A415" s="16"/>
      <c r="B415" s="16"/>
      <c r="C415" s="16"/>
      <c r="D415" s="16"/>
      <c r="E415" s="16"/>
      <c r="F415" s="16"/>
      <c r="G415" s="16"/>
      <c r="H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 customHeight="1" spans="1:29">
      <c r="A416" s="16"/>
      <c r="B416" s="16"/>
      <c r="C416" s="16"/>
      <c r="D416" s="16"/>
      <c r="E416" s="16"/>
      <c r="F416" s="16"/>
      <c r="G416" s="16"/>
      <c r="H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 customHeight="1" spans="1:29">
      <c r="A417" s="16"/>
      <c r="B417" s="16"/>
      <c r="C417" s="16"/>
      <c r="D417" s="16"/>
      <c r="E417" s="16"/>
      <c r="F417" s="16"/>
      <c r="G417" s="16"/>
      <c r="H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 customHeight="1" spans="1:29">
      <c r="A418" s="16"/>
      <c r="B418" s="16"/>
      <c r="C418" s="16"/>
      <c r="D418" s="16"/>
      <c r="E418" s="16"/>
      <c r="F418" s="16"/>
      <c r="G418" s="16"/>
      <c r="H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 customHeight="1" spans="1:29">
      <c r="A419" s="16"/>
      <c r="B419" s="16"/>
      <c r="C419" s="16"/>
      <c r="D419" s="16"/>
      <c r="E419" s="16"/>
      <c r="F419" s="16"/>
      <c r="G419" s="16"/>
      <c r="H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 customHeight="1" spans="1:29">
      <c r="A420" s="16"/>
      <c r="B420" s="16"/>
      <c r="C420" s="16"/>
      <c r="D420" s="16"/>
      <c r="E420" s="16"/>
      <c r="F420" s="16"/>
      <c r="G420" s="16"/>
      <c r="H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 customHeight="1" spans="1:29">
      <c r="A421" s="16"/>
      <c r="B421" s="16"/>
      <c r="C421" s="16"/>
      <c r="D421" s="16"/>
      <c r="E421" s="16"/>
      <c r="F421" s="16"/>
      <c r="G421" s="16"/>
      <c r="H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 customHeight="1" spans="1:29">
      <c r="A422" s="16"/>
      <c r="B422" s="16"/>
      <c r="C422" s="16"/>
      <c r="D422" s="16"/>
      <c r="E422" s="16"/>
      <c r="F422" s="16"/>
      <c r="G422" s="16"/>
      <c r="H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 customHeight="1" spans="1:29">
      <c r="A423" s="16"/>
      <c r="B423" s="16"/>
      <c r="C423" s="16"/>
      <c r="D423" s="16"/>
      <c r="E423" s="16"/>
      <c r="F423" s="16"/>
      <c r="G423" s="16"/>
      <c r="H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 customHeight="1" spans="1:29">
      <c r="A424" s="16"/>
      <c r="B424" s="16"/>
      <c r="C424" s="16"/>
      <c r="D424" s="16"/>
      <c r="E424" s="16"/>
      <c r="F424" s="16"/>
      <c r="G424" s="16"/>
      <c r="H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 customHeight="1" spans="1:29">
      <c r="A425" s="16"/>
      <c r="B425" s="16"/>
      <c r="C425" s="16"/>
      <c r="D425" s="16"/>
      <c r="E425" s="16"/>
      <c r="F425" s="16"/>
      <c r="G425" s="16"/>
      <c r="H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 customHeight="1" spans="1:29">
      <c r="A426" s="16"/>
      <c r="B426" s="16"/>
      <c r="C426" s="16"/>
      <c r="D426" s="16"/>
      <c r="E426" s="16"/>
      <c r="F426" s="16"/>
      <c r="G426" s="16"/>
      <c r="H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 customHeight="1" spans="1:29">
      <c r="A427" s="16"/>
      <c r="B427" s="16"/>
      <c r="C427" s="16"/>
      <c r="D427" s="16"/>
      <c r="E427" s="16"/>
      <c r="F427" s="16"/>
      <c r="G427" s="16"/>
      <c r="H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 customHeight="1" spans="1:29">
      <c r="A428" s="16"/>
      <c r="B428" s="16"/>
      <c r="C428" s="16"/>
      <c r="D428" s="16"/>
      <c r="E428" s="16"/>
      <c r="F428" s="16"/>
      <c r="G428" s="16"/>
      <c r="H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 customHeight="1" spans="1:29">
      <c r="A429" s="16"/>
      <c r="B429" s="16"/>
      <c r="C429" s="16"/>
      <c r="D429" s="16"/>
      <c r="E429" s="16"/>
      <c r="F429" s="16"/>
      <c r="G429" s="16"/>
      <c r="H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 customHeight="1" spans="1:29">
      <c r="A430" s="16"/>
      <c r="B430" s="16"/>
      <c r="C430" s="16"/>
      <c r="D430" s="16"/>
      <c r="E430" s="16"/>
      <c r="F430" s="16"/>
      <c r="G430" s="16"/>
      <c r="H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 customHeight="1" spans="1:29">
      <c r="A431" s="16"/>
      <c r="B431" s="16"/>
      <c r="C431" s="16"/>
      <c r="D431" s="16"/>
      <c r="E431" s="16"/>
      <c r="F431" s="16"/>
      <c r="G431" s="16"/>
      <c r="H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 customHeight="1" spans="1:29">
      <c r="A432" s="16"/>
      <c r="B432" s="16"/>
      <c r="C432" s="16"/>
      <c r="D432" s="16"/>
      <c r="E432" s="16"/>
      <c r="F432" s="16"/>
      <c r="G432" s="16"/>
      <c r="H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 customHeight="1" spans="1:29">
      <c r="A433" s="16"/>
      <c r="B433" s="16"/>
      <c r="C433" s="16"/>
      <c r="D433" s="16"/>
      <c r="E433" s="16"/>
      <c r="F433" s="16"/>
      <c r="G433" s="16"/>
      <c r="H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 customHeight="1" spans="1:29">
      <c r="A434" s="16"/>
      <c r="B434" s="16"/>
      <c r="C434" s="16"/>
      <c r="D434" s="16"/>
      <c r="E434" s="16"/>
      <c r="F434" s="16"/>
      <c r="G434" s="16"/>
      <c r="H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 customHeight="1" spans="1:29">
      <c r="A435" s="16"/>
      <c r="B435" s="16"/>
      <c r="C435" s="16"/>
      <c r="D435" s="16"/>
      <c r="E435" s="16"/>
      <c r="F435" s="16"/>
      <c r="G435" s="16"/>
      <c r="H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 customHeight="1" spans="1:29">
      <c r="A436" s="16"/>
      <c r="B436" s="16"/>
      <c r="C436" s="16"/>
      <c r="D436" s="16"/>
      <c r="E436" s="16"/>
      <c r="F436" s="16"/>
      <c r="G436" s="16"/>
      <c r="H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 customHeight="1" spans="1:29">
      <c r="A437" s="16"/>
      <c r="B437" s="16"/>
      <c r="C437" s="16"/>
      <c r="D437" s="16"/>
      <c r="E437" s="16"/>
      <c r="F437" s="16"/>
      <c r="G437" s="16"/>
      <c r="H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 customHeight="1" spans="1:29">
      <c r="A438" s="16"/>
      <c r="B438" s="16"/>
      <c r="C438" s="16"/>
      <c r="D438" s="16"/>
      <c r="E438" s="16"/>
      <c r="F438" s="16"/>
      <c r="G438" s="16"/>
      <c r="H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 customHeight="1" spans="1:29">
      <c r="A439" s="16"/>
      <c r="B439" s="16"/>
      <c r="C439" s="16"/>
      <c r="D439" s="16"/>
      <c r="E439" s="16"/>
      <c r="F439" s="16"/>
      <c r="G439" s="16"/>
      <c r="H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 customHeight="1" spans="1:29">
      <c r="A440" s="16"/>
      <c r="B440" s="16"/>
      <c r="C440" s="16"/>
      <c r="D440" s="16"/>
      <c r="E440" s="16"/>
      <c r="F440" s="16"/>
      <c r="G440" s="16"/>
      <c r="H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 customHeight="1" spans="1:29">
      <c r="A441" s="16"/>
      <c r="B441" s="16"/>
      <c r="C441" s="16"/>
      <c r="D441" s="16"/>
      <c r="E441" s="16"/>
      <c r="F441" s="16"/>
      <c r="G441" s="16"/>
      <c r="H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 customHeight="1" spans="1:29">
      <c r="A442" s="16"/>
      <c r="B442" s="16"/>
      <c r="C442" s="16"/>
      <c r="D442" s="16"/>
      <c r="E442" s="16"/>
      <c r="F442" s="16"/>
      <c r="G442" s="16"/>
      <c r="H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 customHeight="1" spans="1:29">
      <c r="A443" s="16"/>
      <c r="B443" s="16"/>
      <c r="C443" s="16"/>
      <c r="D443" s="16"/>
      <c r="E443" s="16"/>
      <c r="F443" s="16"/>
      <c r="G443" s="16"/>
      <c r="H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 customHeight="1" spans="1:29">
      <c r="A444" s="16"/>
      <c r="B444" s="16"/>
      <c r="C444" s="16"/>
      <c r="D444" s="16"/>
      <c r="E444" s="16"/>
      <c r="F444" s="16"/>
      <c r="G444" s="16"/>
      <c r="H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 customHeight="1" spans="1:29">
      <c r="A445" s="16"/>
      <c r="B445" s="16"/>
      <c r="C445" s="16"/>
      <c r="D445" s="16"/>
      <c r="E445" s="16"/>
      <c r="F445" s="16"/>
      <c r="G445" s="16"/>
      <c r="H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 customHeight="1" spans="1:29">
      <c r="A446" s="16"/>
      <c r="B446" s="16"/>
      <c r="C446" s="16"/>
      <c r="D446" s="16"/>
      <c r="E446" s="16"/>
      <c r="F446" s="16"/>
      <c r="G446" s="16"/>
      <c r="H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 customHeight="1" spans="1:29">
      <c r="A447" s="16"/>
      <c r="B447" s="16"/>
      <c r="C447" s="16"/>
      <c r="D447" s="16"/>
      <c r="E447" s="16"/>
      <c r="F447" s="16"/>
      <c r="G447" s="16"/>
      <c r="H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 customHeight="1" spans="1:29">
      <c r="A448" s="16"/>
      <c r="B448" s="16"/>
      <c r="C448" s="16"/>
      <c r="D448" s="16"/>
      <c r="E448" s="16"/>
      <c r="F448" s="16"/>
      <c r="G448" s="16"/>
      <c r="H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 customHeight="1" spans="1:29">
      <c r="A449" s="16"/>
      <c r="B449" s="16"/>
      <c r="C449" s="16"/>
      <c r="D449" s="16"/>
      <c r="E449" s="16"/>
      <c r="F449" s="16"/>
      <c r="G449" s="16"/>
      <c r="H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 customHeight="1" spans="1:29">
      <c r="A450" s="16"/>
      <c r="B450" s="16"/>
      <c r="C450" s="16"/>
      <c r="D450" s="16"/>
      <c r="E450" s="16"/>
      <c r="F450" s="16"/>
      <c r="G450" s="16"/>
      <c r="H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 customHeight="1" spans="1:29">
      <c r="A451" s="16"/>
      <c r="B451" s="16"/>
      <c r="C451" s="16"/>
      <c r="D451" s="16"/>
      <c r="E451" s="16"/>
      <c r="F451" s="16"/>
      <c r="G451" s="16"/>
      <c r="H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 customHeight="1" spans="1:29">
      <c r="A452" s="16"/>
      <c r="B452" s="16"/>
      <c r="C452" s="16"/>
      <c r="D452" s="16"/>
      <c r="E452" s="16"/>
      <c r="F452" s="16"/>
      <c r="G452" s="16"/>
      <c r="H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 customHeight="1" spans="1:29">
      <c r="A453" s="16"/>
      <c r="B453" s="16"/>
      <c r="C453" s="16"/>
      <c r="D453" s="16"/>
      <c r="E453" s="16"/>
      <c r="F453" s="16"/>
      <c r="G453" s="16"/>
      <c r="H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 customHeight="1" spans="1:29">
      <c r="A454" s="16"/>
      <c r="B454" s="16"/>
      <c r="C454" s="16"/>
      <c r="D454" s="16"/>
      <c r="E454" s="16"/>
      <c r="F454" s="16"/>
      <c r="G454" s="16"/>
      <c r="H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 customHeight="1" spans="1:29">
      <c r="A455" s="16"/>
      <c r="B455" s="16"/>
      <c r="C455" s="16"/>
      <c r="D455" s="16"/>
      <c r="E455" s="16"/>
      <c r="F455" s="16"/>
      <c r="G455" s="16"/>
      <c r="H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 customHeight="1" spans="1:29">
      <c r="A456" s="16"/>
      <c r="B456" s="16"/>
      <c r="C456" s="16"/>
      <c r="D456" s="16"/>
      <c r="E456" s="16"/>
      <c r="F456" s="16"/>
      <c r="G456" s="16"/>
      <c r="H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 customHeight="1" spans="1:29">
      <c r="A457" s="16"/>
      <c r="B457" s="16"/>
      <c r="C457" s="16"/>
      <c r="D457" s="16"/>
      <c r="E457" s="16"/>
      <c r="F457" s="16"/>
      <c r="G457" s="16"/>
      <c r="H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 customHeight="1" spans="1:29">
      <c r="A458" s="16"/>
      <c r="B458" s="16"/>
      <c r="C458" s="16"/>
      <c r="D458" s="16"/>
      <c r="E458" s="16"/>
      <c r="F458" s="16"/>
      <c r="G458" s="16"/>
      <c r="H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 customHeight="1" spans="1:29">
      <c r="A459" s="16"/>
      <c r="B459" s="16"/>
      <c r="C459" s="16"/>
      <c r="D459" s="16"/>
      <c r="E459" s="16"/>
      <c r="F459" s="16"/>
      <c r="G459" s="16"/>
      <c r="H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 customHeight="1" spans="1:29">
      <c r="A460" s="16"/>
      <c r="B460" s="16"/>
      <c r="C460" s="16"/>
      <c r="D460" s="16"/>
      <c r="E460" s="16"/>
      <c r="F460" s="16"/>
      <c r="G460" s="16"/>
      <c r="H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 customHeight="1" spans="1:29">
      <c r="A461" s="16"/>
      <c r="B461" s="16"/>
      <c r="C461" s="16"/>
      <c r="D461" s="16"/>
      <c r="E461" s="16"/>
      <c r="F461" s="16"/>
      <c r="G461" s="16"/>
      <c r="H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 customHeight="1" spans="1:29">
      <c r="A462" s="16"/>
      <c r="B462" s="16"/>
      <c r="C462" s="16"/>
      <c r="D462" s="16"/>
      <c r="E462" s="16"/>
      <c r="F462" s="16"/>
      <c r="G462" s="16"/>
      <c r="H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 customHeight="1" spans="1:29">
      <c r="A463" s="16"/>
      <c r="B463" s="16"/>
      <c r="C463" s="16"/>
      <c r="D463" s="16"/>
      <c r="E463" s="16"/>
      <c r="F463" s="16"/>
      <c r="G463" s="16"/>
      <c r="H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 customHeight="1" spans="1:29">
      <c r="A464" s="16"/>
      <c r="B464" s="16"/>
      <c r="C464" s="16"/>
      <c r="D464" s="16"/>
      <c r="E464" s="16"/>
      <c r="F464" s="16"/>
      <c r="G464" s="16"/>
      <c r="H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 customHeight="1" spans="1:29">
      <c r="A465" s="16"/>
      <c r="B465" s="16"/>
      <c r="C465" s="16"/>
      <c r="D465" s="16"/>
      <c r="E465" s="16"/>
      <c r="F465" s="16"/>
      <c r="G465" s="16"/>
      <c r="H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 customHeight="1" spans="1:29">
      <c r="A466" s="16"/>
      <c r="B466" s="16"/>
      <c r="C466" s="16"/>
      <c r="D466" s="16"/>
      <c r="E466" s="16"/>
      <c r="F466" s="16"/>
      <c r="G466" s="16"/>
      <c r="H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 customHeight="1" spans="1:29">
      <c r="A467" s="16"/>
      <c r="B467" s="16"/>
      <c r="C467" s="16"/>
      <c r="D467" s="16"/>
      <c r="E467" s="16"/>
      <c r="F467" s="16"/>
      <c r="G467" s="16"/>
      <c r="H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 customHeight="1" spans="1:29">
      <c r="A468" s="16"/>
      <c r="B468" s="16"/>
      <c r="C468" s="16"/>
      <c r="D468" s="16"/>
      <c r="E468" s="16"/>
      <c r="F468" s="16"/>
      <c r="G468" s="16"/>
      <c r="H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 customHeight="1" spans="1:29">
      <c r="A469" s="16"/>
      <c r="B469" s="16"/>
      <c r="C469" s="16"/>
      <c r="D469" s="16"/>
      <c r="E469" s="16"/>
      <c r="F469" s="16"/>
      <c r="G469" s="16"/>
      <c r="H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 customHeight="1" spans="1:29">
      <c r="A470" s="16"/>
      <c r="B470" s="16"/>
      <c r="C470" s="16"/>
      <c r="D470" s="16"/>
      <c r="E470" s="16"/>
      <c r="F470" s="16"/>
      <c r="G470" s="16"/>
      <c r="H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 customHeight="1" spans="1:29">
      <c r="A471" s="16"/>
      <c r="B471" s="16"/>
      <c r="C471" s="16"/>
      <c r="D471" s="16"/>
      <c r="E471" s="16"/>
      <c r="F471" s="16"/>
      <c r="G471" s="16"/>
      <c r="H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 customHeight="1" spans="1:29">
      <c r="A472" s="16"/>
      <c r="B472" s="16"/>
      <c r="C472" s="16"/>
      <c r="D472" s="16"/>
      <c r="E472" s="16"/>
      <c r="F472" s="16"/>
      <c r="G472" s="16"/>
      <c r="H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 customHeight="1" spans="1:29">
      <c r="A473" s="16"/>
      <c r="B473" s="16"/>
      <c r="C473" s="16"/>
      <c r="D473" s="16"/>
      <c r="E473" s="16"/>
      <c r="F473" s="16"/>
      <c r="G473" s="16"/>
      <c r="H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 customHeight="1" spans="1:29">
      <c r="A474" s="16"/>
      <c r="B474" s="16"/>
      <c r="C474" s="16"/>
      <c r="D474" s="16"/>
      <c r="E474" s="16"/>
      <c r="F474" s="16"/>
      <c r="G474" s="16"/>
      <c r="H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 customHeight="1" spans="1:29">
      <c r="A475" s="16"/>
      <c r="B475" s="16"/>
      <c r="C475" s="16"/>
      <c r="D475" s="16"/>
      <c r="E475" s="16"/>
      <c r="F475" s="16"/>
      <c r="G475" s="16"/>
      <c r="H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 customHeight="1" spans="1:29">
      <c r="A476" s="16"/>
      <c r="B476" s="16"/>
      <c r="C476" s="16"/>
      <c r="D476" s="16"/>
      <c r="E476" s="16"/>
      <c r="F476" s="16"/>
      <c r="G476" s="16"/>
      <c r="H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 customHeight="1" spans="1:29">
      <c r="A477" s="16"/>
      <c r="B477" s="16"/>
      <c r="C477" s="16"/>
      <c r="D477" s="16"/>
      <c r="E477" s="16"/>
      <c r="F477" s="16"/>
      <c r="G477" s="16"/>
      <c r="H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 customHeight="1" spans="1:29">
      <c r="A478" s="16"/>
      <c r="B478" s="16"/>
      <c r="C478" s="16"/>
      <c r="D478" s="16"/>
      <c r="E478" s="16"/>
      <c r="F478" s="16"/>
      <c r="G478" s="16"/>
      <c r="H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 customHeight="1" spans="1:29">
      <c r="A479" s="16"/>
      <c r="B479" s="16"/>
      <c r="C479" s="16"/>
      <c r="D479" s="16"/>
      <c r="E479" s="16"/>
      <c r="F479" s="16"/>
      <c r="G479" s="16"/>
      <c r="H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 customHeight="1" spans="1:29">
      <c r="A480" s="16"/>
      <c r="B480" s="16"/>
      <c r="C480" s="16"/>
      <c r="D480" s="16"/>
      <c r="E480" s="16"/>
      <c r="F480" s="16"/>
      <c r="G480" s="16"/>
      <c r="H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 customHeight="1" spans="1:29">
      <c r="A481" s="16"/>
      <c r="B481" s="16"/>
      <c r="C481" s="16"/>
      <c r="D481" s="16"/>
      <c r="E481" s="16"/>
      <c r="F481" s="16"/>
      <c r="G481" s="16"/>
      <c r="H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 customHeight="1" spans="1:29">
      <c r="A482" s="16"/>
      <c r="B482" s="16"/>
      <c r="C482" s="16"/>
      <c r="D482" s="16"/>
      <c r="E482" s="16"/>
      <c r="F482" s="16"/>
      <c r="G482" s="16"/>
      <c r="H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 customHeight="1" spans="1:29">
      <c r="A483" s="16"/>
      <c r="B483" s="16"/>
      <c r="C483" s="16"/>
      <c r="D483" s="16"/>
      <c r="E483" s="16"/>
      <c r="F483" s="16"/>
      <c r="G483" s="16"/>
      <c r="H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 customHeight="1" spans="1:29">
      <c r="A484" s="16"/>
      <c r="B484" s="16"/>
      <c r="C484" s="16"/>
      <c r="D484" s="16"/>
      <c r="E484" s="16"/>
      <c r="F484" s="16"/>
      <c r="G484" s="16"/>
      <c r="H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 customHeight="1" spans="1:29">
      <c r="A485" s="16"/>
      <c r="B485" s="16"/>
      <c r="C485" s="16"/>
      <c r="D485" s="16"/>
      <c r="E485" s="16"/>
      <c r="F485" s="16"/>
      <c r="G485" s="16"/>
      <c r="H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 customHeight="1" spans="1:29">
      <c r="A486" s="16"/>
      <c r="B486" s="16"/>
      <c r="C486" s="16"/>
      <c r="D486" s="16"/>
      <c r="E486" s="16"/>
      <c r="F486" s="16"/>
      <c r="G486" s="16"/>
      <c r="H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 customHeight="1" spans="1:29">
      <c r="A487" s="16"/>
      <c r="B487" s="16"/>
      <c r="C487" s="16"/>
      <c r="D487" s="16"/>
      <c r="E487" s="16"/>
      <c r="F487" s="16"/>
      <c r="G487" s="16"/>
      <c r="H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 customHeight="1" spans="1:29">
      <c r="A488" s="16"/>
      <c r="B488" s="16"/>
      <c r="C488" s="16"/>
      <c r="D488" s="16"/>
      <c r="E488" s="16"/>
      <c r="F488" s="16"/>
      <c r="G488" s="16"/>
      <c r="H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 customHeight="1" spans="1:29">
      <c r="A489" s="16"/>
      <c r="B489" s="16"/>
      <c r="C489" s="16"/>
      <c r="D489" s="16"/>
      <c r="E489" s="16"/>
      <c r="F489" s="16"/>
      <c r="G489" s="16"/>
      <c r="H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 customHeight="1" spans="1:29">
      <c r="A490" s="16"/>
      <c r="B490" s="16"/>
      <c r="C490" s="16"/>
      <c r="D490" s="16"/>
      <c r="E490" s="16"/>
      <c r="F490" s="16"/>
      <c r="G490" s="16"/>
      <c r="H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 customHeight="1" spans="1:29">
      <c r="A491" s="16"/>
      <c r="B491" s="16"/>
      <c r="C491" s="16"/>
      <c r="D491" s="16"/>
      <c r="E491" s="16"/>
      <c r="F491" s="16"/>
      <c r="G491" s="16"/>
      <c r="H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 customHeight="1" spans="1:29">
      <c r="A492" s="16"/>
      <c r="B492" s="16"/>
      <c r="C492" s="16"/>
      <c r="D492" s="16"/>
      <c r="E492" s="16"/>
      <c r="F492" s="16"/>
      <c r="G492" s="16"/>
      <c r="H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 customHeight="1" spans="1:29">
      <c r="A493" s="16"/>
      <c r="B493" s="16"/>
      <c r="C493" s="16"/>
      <c r="D493" s="16"/>
      <c r="E493" s="16"/>
      <c r="F493" s="16"/>
      <c r="G493" s="16"/>
      <c r="H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 customHeight="1" spans="1:29">
      <c r="A494" s="16"/>
      <c r="B494" s="16"/>
      <c r="C494" s="16"/>
      <c r="D494" s="16"/>
      <c r="E494" s="16"/>
      <c r="F494" s="16"/>
      <c r="G494" s="16"/>
      <c r="H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 customHeight="1" spans="1:29">
      <c r="A495" s="16"/>
      <c r="B495" s="16"/>
      <c r="C495" s="16"/>
      <c r="D495" s="16"/>
      <c r="E495" s="16"/>
      <c r="F495" s="16"/>
      <c r="G495" s="16"/>
      <c r="H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 customHeight="1" spans="1:29">
      <c r="A496" s="16"/>
      <c r="B496" s="16"/>
      <c r="C496" s="16"/>
      <c r="D496" s="16"/>
      <c r="E496" s="16"/>
      <c r="F496" s="16"/>
      <c r="G496" s="16"/>
      <c r="H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 customHeight="1" spans="1:29">
      <c r="A497" s="16"/>
      <c r="B497" s="16"/>
      <c r="C497" s="16"/>
      <c r="D497" s="16"/>
      <c r="E497" s="16"/>
      <c r="F497" s="16"/>
      <c r="G497" s="16"/>
      <c r="H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 customHeight="1" spans="1:29">
      <c r="A498" s="16"/>
      <c r="B498" s="16"/>
      <c r="C498" s="16"/>
      <c r="D498" s="16"/>
      <c r="E498" s="16"/>
      <c r="F498" s="16"/>
      <c r="G498" s="16"/>
      <c r="H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 customHeight="1" spans="1:29">
      <c r="A499" s="16"/>
      <c r="B499" s="16"/>
      <c r="C499" s="16"/>
      <c r="D499" s="16"/>
      <c r="E499" s="16"/>
      <c r="F499" s="16"/>
      <c r="G499" s="16"/>
      <c r="H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 customHeight="1" spans="1:29">
      <c r="A500" s="16"/>
      <c r="B500" s="16"/>
      <c r="C500" s="16"/>
      <c r="D500" s="16"/>
      <c r="E500" s="16"/>
      <c r="F500" s="16"/>
      <c r="G500" s="16"/>
      <c r="H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 customHeight="1" spans="1:29">
      <c r="A501" s="16"/>
      <c r="B501" s="16"/>
      <c r="C501" s="16"/>
      <c r="D501" s="16"/>
      <c r="E501" s="16"/>
      <c r="F501" s="16"/>
      <c r="G501" s="16"/>
      <c r="H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 customHeight="1" spans="1:29">
      <c r="A502" s="16"/>
      <c r="B502" s="16"/>
      <c r="C502" s="16"/>
      <c r="D502" s="16"/>
      <c r="E502" s="16"/>
      <c r="F502" s="16"/>
      <c r="G502" s="16"/>
      <c r="H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 customHeight="1" spans="1:29">
      <c r="A503" s="16"/>
      <c r="B503" s="16"/>
      <c r="C503" s="16"/>
      <c r="D503" s="16"/>
      <c r="E503" s="16"/>
      <c r="F503" s="16"/>
      <c r="G503" s="16"/>
      <c r="H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 customHeight="1" spans="1:29">
      <c r="A504" s="16"/>
      <c r="B504" s="16"/>
      <c r="C504" s="16"/>
      <c r="D504" s="16"/>
      <c r="E504" s="16"/>
      <c r="F504" s="16"/>
      <c r="G504" s="16"/>
      <c r="H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 customHeight="1" spans="1:29">
      <c r="A505" s="16"/>
      <c r="B505" s="16"/>
      <c r="C505" s="16"/>
      <c r="D505" s="16"/>
      <c r="E505" s="16"/>
      <c r="F505" s="16"/>
      <c r="G505" s="16"/>
      <c r="H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 customHeight="1" spans="1:29">
      <c r="A506" s="16"/>
      <c r="B506" s="16"/>
      <c r="C506" s="16"/>
      <c r="D506" s="16"/>
      <c r="E506" s="16"/>
      <c r="F506" s="16"/>
      <c r="G506" s="16"/>
      <c r="H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 customHeight="1" spans="1:29">
      <c r="A507" s="16"/>
      <c r="B507" s="16"/>
      <c r="C507" s="16"/>
      <c r="D507" s="16"/>
      <c r="E507" s="16"/>
      <c r="F507" s="16"/>
      <c r="G507" s="16"/>
      <c r="H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 customHeight="1" spans="1:29">
      <c r="A508" s="16"/>
      <c r="B508" s="16"/>
      <c r="C508" s="16"/>
      <c r="D508" s="16"/>
      <c r="E508" s="16"/>
      <c r="F508" s="16"/>
      <c r="G508" s="16"/>
      <c r="H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 customHeight="1" spans="1:29">
      <c r="A509" s="16"/>
      <c r="B509" s="16"/>
      <c r="C509" s="16"/>
      <c r="D509" s="16"/>
      <c r="E509" s="16"/>
      <c r="F509" s="16"/>
      <c r="G509" s="16"/>
      <c r="H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 customHeight="1" spans="1:29">
      <c r="A510" s="16"/>
      <c r="B510" s="16"/>
      <c r="C510" s="16"/>
      <c r="D510" s="16"/>
      <c r="E510" s="16"/>
      <c r="F510" s="16"/>
      <c r="G510" s="16"/>
      <c r="H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 customHeight="1" spans="1:29">
      <c r="A511" s="16"/>
      <c r="B511" s="16"/>
      <c r="C511" s="16"/>
      <c r="D511" s="16"/>
      <c r="E511" s="16"/>
      <c r="F511" s="16"/>
      <c r="G511" s="16"/>
      <c r="H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 customHeight="1" spans="1:29">
      <c r="A512" s="16"/>
      <c r="B512" s="16"/>
      <c r="C512" s="16"/>
      <c r="D512" s="16"/>
      <c r="E512" s="16"/>
      <c r="F512" s="16"/>
      <c r="G512" s="16"/>
      <c r="H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 customHeight="1" spans="1:29">
      <c r="A513" s="16"/>
      <c r="B513" s="16"/>
      <c r="C513" s="16"/>
      <c r="D513" s="16"/>
      <c r="E513" s="16"/>
      <c r="F513" s="16"/>
      <c r="G513" s="16"/>
      <c r="H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 customHeight="1" spans="1:29">
      <c r="A514" s="16"/>
      <c r="B514" s="16"/>
      <c r="C514" s="16"/>
      <c r="D514" s="16"/>
      <c r="E514" s="16"/>
      <c r="F514" s="16"/>
      <c r="G514" s="16"/>
      <c r="H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 customHeight="1" spans="1:29">
      <c r="A515" s="16"/>
      <c r="B515" s="16"/>
      <c r="C515" s="16"/>
      <c r="D515" s="16"/>
      <c r="E515" s="16"/>
      <c r="F515" s="16"/>
      <c r="G515" s="16"/>
      <c r="H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 customHeight="1" spans="1:29">
      <c r="A516" s="16"/>
      <c r="B516" s="16"/>
      <c r="C516" s="16"/>
      <c r="D516" s="16"/>
      <c r="E516" s="16"/>
      <c r="F516" s="16"/>
      <c r="G516" s="16"/>
      <c r="H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 customHeight="1" spans="1:29">
      <c r="A517" s="16"/>
      <c r="B517" s="16"/>
      <c r="C517" s="16"/>
      <c r="D517" s="16"/>
      <c r="E517" s="16"/>
      <c r="F517" s="16"/>
      <c r="G517" s="16"/>
      <c r="H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 customHeight="1" spans="1:29">
      <c r="A518" s="16"/>
      <c r="B518" s="16"/>
      <c r="C518" s="16"/>
      <c r="D518" s="16"/>
      <c r="E518" s="16"/>
      <c r="F518" s="16"/>
      <c r="G518" s="16"/>
      <c r="H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 customHeight="1" spans="1:29">
      <c r="A519" s="16"/>
      <c r="B519" s="16"/>
      <c r="C519" s="16"/>
      <c r="D519" s="16"/>
      <c r="E519" s="16"/>
      <c r="F519" s="16"/>
      <c r="G519" s="16"/>
      <c r="H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 customHeight="1" spans="1:29">
      <c r="A520" s="16"/>
      <c r="B520" s="16"/>
      <c r="C520" s="16"/>
      <c r="D520" s="16"/>
      <c r="E520" s="16"/>
      <c r="F520" s="16"/>
      <c r="G520" s="16"/>
      <c r="H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 customHeight="1" spans="1:29">
      <c r="A521" s="16"/>
      <c r="B521" s="16"/>
      <c r="C521" s="16"/>
      <c r="D521" s="16"/>
      <c r="E521" s="16"/>
      <c r="F521" s="16"/>
      <c r="G521" s="16"/>
      <c r="H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 customHeight="1" spans="1:29">
      <c r="A522" s="16"/>
      <c r="B522" s="16"/>
      <c r="C522" s="16"/>
      <c r="D522" s="16"/>
      <c r="E522" s="16"/>
      <c r="F522" s="16"/>
      <c r="G522" s="16"/>
      <c r="H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 customHeight="1" spans="1:29">
      <c r="A523" s="16"/>
      <c r="B523" s="16"/>
      <c r="C523" s="16"/>
      <c r="D523" s="16"/>
      <c r="E523" s="16"/>
      <c r="F523" s="16"/>
      <c r="G523" s="16"/>
      <c r="H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 customHeight="1" spans="1:29">
      <c r="A524" s="16"/>
      <c r="B524" s="16"/>
      <c r="C524" s="16"/>
      <c r="D524" s="16"/>
      <c r="E524" s="16"/>
      <c r="F524" s="16"/>
      <c r="G524" s="16"/>
      <c r="H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 customHeight="1" spans="1:29">
      <c r="A525" s="16"/>
      <c r="B525" s="16"/>
      <c r="C525" s="16"/>
      <c r="D525" s="16"/>
      <c r="E525" s="16"/>
      <c r="F525" s="16"/>
      <c r="G525" s="16"/>
      <c r="H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 customHeight="1" spans="1:29">
      <c r="A526" s="16"/>
      <c r="B526" s="16"/>
      <c r="C526" s="16"/>
      <c r="D526" s="16"/>
      <c r="E526" s="16"/>
      <c r="F526" s="16"/>
      <c r="G526" s="16"/>
      <c r="H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 customHeight="1" spans="1:29">
      <c r="A527" s="16"/>
      <c r="B527" s="16"/>
      <c r="C527" s="16"/>
      <c r="D527" s="16"/>
      <c r="E527" s="16"/>
      <c r="F527" s="16"/>
      <c r="G527" s="16"/>
      <c r="H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 customHeight="1" spans="1:29">
      <c r="A528" s="16"/>
      <c r="B528" s="16"/>
      <c r="C528" s="16"/>
      <c r="D528" s="16"/>
      <c r="E528" s="16"/>
      <c r="F528" s="16"/>
      <c r="G528" s="16"/>
      <c r="H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 customHeight="1" spans="1:29">
      <c r="A529" s="16"/>
      <c r="B529" s="16"/>
      <c r="C529" s="16"/>
      <c r="D529" s="16"/>
      <c r="E529" s="16"/>
      <c r="F529" s="16"/>
      <c r="G529" s="16"/>
      <c r="H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 customHeight="1" spans="1:29">
      <c r="A530" s="16"/>
      <c r="B530" s="16"/>
      <c r="C530" s="16"/>
      <c r="D530" s="16"/>
      <c r="E530" s="16"/>
      <c r="F530" s="16"/>
      <c r="G530" s="16"/>
      <c r="H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 customHeight="1" spans="1:29">
      <c r="A531" s="16"/>
      <c r="B531" s="16"/>
      <c r="C531" s="16"/>
      <c r="D531" s="16"/>
      <c r="E531" s="16"/>
      <c r="F531" s="16"/>
      <c r="G531" s="16"/>
      <c r="H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 customHeight="1" spans="1:29">
      <c r="A532" s="16"/>
      <c r="B532" s="16"/>
      <c r="C532" s="16"/>
      <c r="D532" s="16"/>
      <c r="E532" s="16"/>
      <c r="F532" s="16"/>
      <c r="G532" s="16"/>
      <c r="H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 customHeight="1" spans="1:29">
      <c r="A533" s="16"/>
      <c r="B533" s="16"/>
      <c r="C533" s="16"/>
      <c r="D533" s="16"/>
      <c r="E533" s="16"/>
      <c r="F533" s="16"/>
      <c r="G533" s="16"/>
      <c r="H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 customHeight="1" spans="1:29">
      <c r="A534" s="16"/>
      <c r="B534" s="16"/>
      <c r="C534" s="16"/>
      <c r="D534" s="16"/>
      <c r="E534" s="16"/>
      <c r="F534" s="16"/>
      <c r="G534" s="16"/>
      <c r="H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 customHeight="1" spans="1:29">
      <c r="A535" s="16"/>
      <c r="B535" s="16"/>
      <c r="C535" s="16"/>
      <c r="D535" s="16"/>
      <c r="E535" s="16"/>
      <c r="F535" s="16"/>
      <c r="G535" s="16"/>
      <c r="H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 customHeight="1" spans="1:29">
      <c r="A536" s="16"/>
      <c r="B536" s="16"/>
      <c r="C536" s="16"/>
      <c r="D536" s="16"/>
      <c r="E536" s="16"/>
      <c r="F536" s="16"/>
      <c r="G536" s="16"/>
      <c r="H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 customHeight="1" spans="1:29">
      <c r="A537" s="16"/>
      <c r="B537" s="16"/>
      <c r="C537" s="16"/>
      <c r="D537" s="16"/>
      <c r="E537" s="16"/>
      <c r="F537" s="16"/>
      <c r="G537" s="16"/>
      <c r="H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 customHeight="1" spans="1:29">
      <c r="A538" s="16"/>
      <c r="B538" s="16"/>
      <c r="C538" s="16"/>
      <c r="D538" s="16"/>
      <c r="E538" s="16"/>
      <c r="F538" s="16"/>
      <c r="G538" s="16"/>
      <c r="H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 customHeight="1" spans="1:29">
      <c r="A539" s="16"/>
      <c r="B539" s="16"/>
      <c r="C539" s="16"/>
      <c r="D539" s="16"/>
      <c r="E539" s="16"/>
      <c r="F539" s="16"/>
      <c r="G539" s="16"/>
      <c r="H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 customHeight="1" spans="1:29">
      <c r="A540" s="16"/>
      <c r="B540" s="16"/>
      <c r="C540" s="16"/>
      <c r="D540" s="16"/>
      <c r="E540" s="16"/>
      <c r="F540" s="16"/>
      <c r="G540" s="16"/>
      <c r="H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 customHeight="1" spans="1:29">
      <c r="A541" s="16"/>
      <c r="B541" s="16"/>
      <c r="C541" s="16"/>
      <c r="D541" s="16"/>
      <c r="E541" s="16"/>
      <c r="F541" s="16"/>
      <c r="G541" s="16"/>
      <c r="H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 customHeight="1" spans="1:29">
      <c r="A542" s="16"/>
      <c r="B542" s="16"/>
      <c r="C542" s="16"/>
      <c r="D542" s="16"/>
      <c r="E542" s="16"/>
      <c r="F542" s="16"/>
      <c r="G542" s="16"/>
      <c r="H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 customHeight="1" spans="1:29">
      <c r="A543" s="16"/>
      <c r="B543" s="16"/>
      <c r="C543" s="16"/>
      <c r="D543" s="16"/>
      <c r="E543" s="16"/>
      <c r="F543" s="16"/>
      <c r="G543" s="16"/>
      <c r="H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 customHeight="1" spans="1:29">
      <c r="A544" s="16"/>
      <c r="B544" s="16"/>
      <c r="C544" s="16"/>
      <c r="D544" s="16"/>
      <c r="E544" s="16"/>
      <c r="F544" s="16"/>
      <c r="G544" s="16"/>
      <c r="H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 customHeight="1" spans="1:29">
      <c r="A545" s="16"/>
      <c r="B545" s="16"/>
      <c r="C545" s="16"/>
      <c r="D545" s="16"/>
      <c r="E545" s="16"/>
      <c r="F545" s="16"/>
      <c r="G545" s="16"/>
      <c r="H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 customHeight="1" spans="1:29">
      <c r="A546" s="16"/>
      <c r="B546" s="16"/>
      <c r="C546" s="16"/>
      <c r="D546" s="16"/>
      <c r="E546" s="16"/>
      <c r="F546" s="16"/>
      <c r="G546" s="16"/>
      <c r="H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 customHeight="1" spans="1:29">
      <c r="A547" s="16"/>
      <c r="B547" s="16"/>
      <c r="C547" s="16"/>
      <c r="D547" s="16"/>
      <c r="E547" s="16"/>
      <c r="F547" s="16"/>
      <c r="G547" s="16"/>
      <c r="H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 customHeight="1" spans="1:29">
      <c r="A548" s="16"/>
      <c r="B548" s="16"/>
      <c r="C548" s="16"/>
      <c r="D548" s="16"/>
      <c r="E548" s="16"/>
      <c r="F548" s="16"/>
      <c r="G548" s="16"/>
      <c r="H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 customHeight="1" spans="1:29">
      <c r="A549" s="16"/>
      <c r="B549" s="16"/>
      <c r="C549" s="16"/>
      <c r="D549" s="16"/>
      <c r="E549" s="16"/>
      <c r="F549" s="16"/>
      <c r="G549" s="16"/>
      <c r="H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 customHeight="1" spans="1:29">
      <c r="A550" s="16"/>
      <c r="B550" s="16"/>
      <c r="C550" s="16"/>
      <c r="D550" s="16"/>
      <c r="E550" s="16"/>
      <c r="F550" s="16"/>
      <c r="G550" s="16"/>
      <c r="H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 customHeight="1" spans="1:29">
      <c r="A551" s="16"/>
      <c r="B551" s="16"/>
      <c r="C551" s="16"/>
      <c r="D551" s="16"/>
      <c r="E551" s="16"/>
      <c r="F551" s="16"/>
      <c r="G551" s="16"/>
      <c r="H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 customHeight="1" spans="1:29">
      <c r="A552" s="16"/>
      <c r="B552" s="16"/>
      <c r="C552" s="16"/>
      <c r="D552" s="16"/>
      <c r="E552" s="16"/>
      <c r="F552" s="16"/>
      <c r="G552" s="16"/>
      <c r="H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 customHeight="1" spans="1:29">
      <c r="A553" s="16"/>
      <c r="B553" s="16"/>
      <c r="C553" s="16"/>
      <c r="D553" s="16"/>
      <c r="E553" s="16"/>
      <c r="F553" s="16"/>
      <c r="G553" s="16"/>
      <c r="H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 customHeight="1" spans="1:29">
      <c r="A554" s="16"/>
      <c r="B554" s="16"/>
      <c r="C554" s="16"/>
      <c r="D554" s="16"/>
      <c r="E554" s="16"/>
      <c r="F554" s="16"/>
      <c r="G554" s="16"/>
      <c r="H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 customHeight="1" spans="1:29">
      <c r="A555" s="16"/>
      <c r="B555" s="16"/>
      <c r="C555" s="16"/>
      <c r="D555" s="16"/>
      <c r="E555" s="16"/>
      <c r="F555" s="16"/>
      <c r="G555" s="16"/>
      <c r="H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 customHeight="1" spans="1:29">
      <c r="A556" s="16"/>
      <c r="B556" s="16"/>
      <c r="C556" s="16"/>
      <c r="D556" s="16"/>
      <c r="E556" s="16"/>
      <c r="F556" s="16"/>
      <c r="G556" s="16"/>
      <c r="H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 customHeight="1" spans="1:29">
      <c r="A557" s="16"/>
      <c r="B557" s="16"/>
      <c r="C557" s="16"/>
      <c r="D557" s="16"/>
      <c r="E557" s="16"/>
      <c r="F557" s="16"/>
      <c r="G557" s="16"/>
      <c r="H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 customHeight="1" spans="1:29">
      <c r="A558" s="16"/>
      <c r="B558" s="16"/>
      <c r="C558" s="16"/>
      <c r="D558" s="16"/>
      <c r="E558" s="16"/>
      <c r="F558" s="16"/>
      <c r="G558" s="16"/>
      <c r="H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 customHeight="1" spans="1:29">
      <c r="A559" s="16"/>
      <c r="B559" s="16"/>
      <c r="C559" s="16"/>
      <c r="D559" s="16"/>
      <c r="E559" s="16"/>
      <c r="F559" s="16"/>
      <c r="G559" s="16"/>
      <c r="H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 customHeight="1" spans="1:29">
      <c r="A560" s="16"/>
      <c r="B560" s="16"/>
      <c r="C560" s="16"/>
      <c r="D560" s="16"/>
      <c r="E560" s="16"/>
      <c r="F560" s="16"/>
      <c r="G560" s="16"/>
      <c r="H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 customHeight="1" spans="1:29">
      <c r="A561" s="16"/>
      <c r="B561" s="16"/>
      <c r="C561" s="16"/>
      <c r="D561" s="16"/>
      <c r="E561" s="16"/>
      <c r="F561" s="16"/>
      <c r="G561" s="16"/>
      <c r="H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 customHeight="1" spans="1:29">
      <c r="A562" s="16"/>
      <c r="B562" s="16"/>
      <c r="C562" s="16"/>
      <c r="D562" s="16"/>
      <c r="E562" s="16"/>
      <c r="F562" s="16"/>
      <c r="G562" s="16"/>
      <c r="H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 customHeight="1" spans="1:29">
      <c r="A563" s="16"/>
      <c r="B563" s="16"/>
      <c r="C563" s="16"/>
      <c r="D563" s="16"/>
      <c r="E563" s="16"/>
      <c r="F563" s="16"/>
      <c r="G563" s="16"/>
      <c r="H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 customHeight="1" spans="1:29">
      <c r="A564" s="16"/>
      <c r="B564" s="16"/>
      <c r="C564" s="16"/>
      <c r="D564" s="16"/>
      <c r="E564" s="16"/>
      <c r="F564" s="16"/>
      <c r="G564" s="16"/>
      <c r="H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 customHeight="1" spans="1:29">
      <c r="A565" s="16"/>
      <c r="B565" s="16"/>
      <c r="C565" s="16"/>
      <c r="D565" s="16"/>
      <c r="E565" s="16"/>
      <c r="F565" s="16"/>
      <c r="G565" s="16"/>
      <c r="H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 customHeight="1" spans="1:29">
      <c r="A566" s="16"/>
      <c r="B566" s="16"/>
      <c r="C566" s="16"/>
      <c r="D566" s="16"/>
      <c r="E566" s="16"/>
      <c r="F566" s="16"/>
      <c r="G566" s="16"/>
      <c r="H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 customHeight="1" spans="1:29">
      <c r="A567" s="16"/>
      <c r="B567" s="16"/>
      <c r="C567" s="16"/>
      <c r="D567" s="16"/>
      <c r="E567" s="16"/>
      <c r="F567" s="16"/>
      <c r="G567" s="16"/>
      <c r="H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 customHeight="1" spans="1:29">
      <c r="A568" s="16"/>
      <c r="B568" s="16"/>
      <c r="C568" s="16"/>
      <c r="D568" s="16"/>
      <c r="E568" s="16"/>
      <c r="F568" s="16"/>
      <c r="G568" s="16"/>
      <c r="H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 customHeight="1" spans="1:29">
      <c r="A569" s="16"/>
      <c r="B569" s="16"/>
      <c r="C569" s="16"/>
      <c r="D569" s="16"/>
      <c r="E569" s="16"/>
      <c r="F569" s="16"/>
      <c r="G569" s="16"/>
      <c r="H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 customHeight="1" spans="1:29">
      <c r="A570" s="16"/>
      <c r="B570" s="16"/>
      <c r="C570" s="16"/>
      <c r="D570" s="16"/>
      <c r="E570" s="16"/>
      <c r="F570" s="16"/>
      <c r="G570" s="16"/>
      <c r="H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 customHeight="1" spans="1:29">
      <c r="A571" s="16"/>
      <c r="B571" s="16"/>
      <c r="C571" s="16"/>
      <c r="D571" s="16"/>
      <c r="E571" s="16"/>
      <c r="F571" s="16"/>
      <c r="G571" s="16"/>
      <c r="H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 customHeight="1" spans="1:29">
      <c r="A572" s="16"/>
      <c r="B572" s="16"/>
      <c r="C572" s="16"/>
      <c r="D572" s="16"/>
      <c r="E572" s="16"/>
      <c r="F572" s="16"/>
      <c r="G572" s="16"/>
      <c r="H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 customHeight="1" spans="1:29">
      <c r="A573" s="16"/>
      <c r="B573" s="16"/>
      <c r="C573" s="16"/>
      <c r="D573" s="16"/>
      <c r="E573" s="16"/>
      <c r="F573" s="16"/>
      <c r="G573" s="16"/>
      <c r="H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 customHeight="1" spans="1:29">
      <c r="A574" s="16"/>
      <c r="B574" s="16"/>
      <c r="C574" s="16"/>
      <c r="D574" s="16"/>
      <c r="E574" s="16"/>
      <c r="F574" s="16"/>
      <c r="G574" s="16"/>
      <c r="H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 customHeight="1" spans="1:29">
      <c r="A575" s="16"/>
      <c r="B575" s="16"/>
      <c r="C575" s="16"/>
      <c r="D575" s="16"/>
      <c r="E575" s="16"/>
      <c r="F575" s="16"/>
      <c r="G575" s="16"/>
      <c r="H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 customHeight="1" spans="1:29">
      <c r="A576" s="16"/>
      <c r="B576" s="16"/>
      <c r="C576" s="16"/>
      <c r="D576" s="16"/>
      <c r="E576" s="16"/>
      <c r="F576" s="16"/>
      <c r="G576" s="16"/>
      <c r="H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 customHeight="1" spans="1:29">
      <c r="A577" s="16"/>
      <c r="B577" s="16"/>
      <c r="C577" s="16"/>
      <c r="D577" s="16"/>
      <c r="E577" s="16"/>
      <c r="F577" s="16"/>
      <c r="G577" s="16"/>
      <c r="H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 customHeight="1" spans="1:29">
      <c r="A578" s="16"/>
      <c r="B578" s="16"/>
      <c r="C578" s="16"/>
      <c r="D578" s="16"/>
      <c r="E578" s="16"/>
      <c r="F578" s="16"/>
      <c r="G578" s="16"/>
      <c r="H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 customHeight="1" spans="1:29">
      <c r="A579" s="16"/>
      <c r="B579" s="16"/>
      <c r="C579" s="16"/>
      <c r="D579" s="16"/>
      <c r="E579" s="16"/>
      <c r="F579" s="16"/>
      <c r="G579" s="16"/>
      <c r="H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 customHeight="1" spans="1:29">
      <c r="A580" s="16"/>
      <c r="B580" s="16"/>
      <c r="C580" s="16"/>
      <c r="D580" s="16"/>
      <c r="E580" s="16"/>
      <c r="F580" s="16"/>
      <c r="G580" s="16"/>
      <c r="H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 customHeight="1" spans="1:29">
      <c r="A581" s="16"/>
      <c r="B581" s="16"/>
      <c r="C581" s="16"/>
      <c r="D581" s="16"/>
      <c r="E581" s="16"/>
      <c r="F581" s="16"/>
      <c r="G581" s="16"/>
      <c r="H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 customHeight="1" spans="1:29">
      <c r="A582" s="16"/>
      <c r="B582" s="16"/>
      <c r="C582" s="16"/>
      <c r="D582" s="16"/>
      <c r="E582" s="16"/>
      <c r="F582" s="16"/>
      <c r="G582" s="16"/>
      <c r="H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 customHeight="1" spans="1:29">
      <c r="A583" s="16"/>
      <c r="B583" s="16"/>
      <c r="C583" s="16"/>
      <c r="D583" s="16"/>
      <c r="E583" s="16"/>
      <c r="F583" s="16"/>
      <c r="G583" s="16"/>
      <c r="H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 customHeight="1" spans="1:29">
      <c r="A584" s="16"/>
      <c r="B584" s="16"/>
      <c r="C584" s="16"/>
      <c r="D584" s="16"/>
      <c r="E584" s="16"/>
      <c r="F584" s="16"/>
      <c r="G584" s="16"/>
      <c r="H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 customHeight="1" spans="1:29">
      <c r="A585" s="16"/>
      <c r="B585" s="16"/>
      <c r="C585" s="16"/>
      <c r="D585" s="16"/>
      <c r="E585" s="16"/>
      <c r="F585" s="16"/>
      <c r="G585" s="16"/>
      <c r="H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 customHeight="1" spans="1:29">
      <c r="A586" s="16"/>
      <c r="B586" s="16"/>
      <c r="C586" s="16"/>
      <c r="D586" s="16"/>
      <c r="E586" s="16"/>
      <c r="F586" s="16"/>
      <c r="G586" s="16"/>
      <c r="H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 customHeight="1" spans="1:29">
      <c r="A587" s="16"/>
      <c r="B587" s="16"/>
      <c r="C587" s="16"/>
      <c r="D587" s="16"/>
      <c r="E587" s="16"/>
      <c r="F587" s="16"/>
      <c r="G587" s="16"/>
      <c r="H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 customHeight="1" spans="1:29">
      <c r="A588" s="16"/>
      <c r="B588" s="16"/>
      <c r="C588" s="16"/>
      <c r="D588" s="16"/>
      <c r="E588" s="16"/>
      <c r="F588" s="16"/>
      <c r="G588" s="16"/>
      <c r="H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 customHeight="1" spans="1:29">
      <c r="A589" s="16"/>
      <c r="B589" s="16"/>
      <c r="C589" s="16"/>
      <c r="D589" s="16"/>
      <c r="E589" s="16"/>
      <c r="F589" s="16"/>
      <c r="G589" s="16"/>
      <c r="H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 customHeight="1" spans="1:29">
      <c r="A590" s="16"/>
      <c r="B590" s="16"/>
      <c r="C590" s="16"/>
      <c r="D590" s="16"/>
      <c r="E590" s="16"/>
      <c r="F590" s="16"/>
      <c r="G590" s="16"/>
      <c r="H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 customHeight="1" spans="1:29">
      <c r="A591" s="16"/>
      <c r="B591" s="16"/>
      <c r="C591" s="16"/>
      <c r="D591" s="16"/>
      <c r="E591" s="16"/>
      <c r="F591" s="16"/>
      <c r="G591" s="16"/>
      <c r="H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 customHeight="1" spans="1:29">
      <c r="A592" s="16"/>
      <c r="B592" s="16"/>
      <c r="C592" s="16"/>
      <c r="D592" s="16"/>
      <c r="E592" s="16"/>
      <c r="F592" s="16"/>
      <c r="G592" s="16"/>
      <c r="H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 customHeight="1" spans="1:29">
      <c r="A593" s="16"/>
      <c r="B593" s="16"/>
      <c r="C593" s="16"/>
      <c r="D593" s="16"/>
      <c r="E593" s="16"/>
      <c r="F593" s="16"/>
      <c r="G593" s="16"/>
      <c r="H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 customHeight="1" spans="1:29">
      <c r="A594" s="16"/>
      <c r="B594" s="16"/>
      <c r="C594" s="16"/>
      <c r="D594" s="16"/>
      <c r="E594" s="16"/>
      <c r="F594" s="16"/>
      <c r="G594" s="16"/>
      <c r="H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 customHeight="1" spans="1:29">
      <c r="A595" s="16"/>
      <c r="B595" s="16"/>
      <c r="C595" s="16"/>
      <c r="D595" s="16"/>
      <c r="E595" s="16"/>
      <c r="F595" s="16"/>
      <c r="G595" s="16"/>
      <c r="H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 customHeight="1" spans="1:29">
      <c r="A596" s="16"/>
      <c r="B596" s="16"/>
      <c r="C596" s="16"/>
      <c r="D596" s="16"/>
      <c r="E596" s="16"/>
      <c r="F596" s="16"/>
      <c r="G596" s="16"/>
      <c r="H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 customHeight="1" spans="1:29">
      <c r="A597" s="16"/>
      <c r="B597" s="16"/>
      <c r="C597" s="16"/>
      <c r="D597" s="16"/>
      <c r="E597" s="16"/>
      <c r="F597" s="16"/>
      <c r="G597" s="16"/>
      <c r="H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 customHeight="1" spans="1:29">
      <c r="A598" s="16"/>
      <c r="B598" s="16"/>
      <c r="C598" s="16"/>
      <c r="D598" s="16"/>
      <c r="E598" s="16"/>
      <c r="F598" s="16"/>
      <c r="G598" s="16"/>
      <c r="H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 customHeight="1" spans="1:29">
      <c r="A599" s="16"/>
      <c r="B599" s="16"/>
      <c r="C599" s="16"/>
      <c r="D599" s="16"/>
      <c r="E599" s="16"/>
      <c r="F599" s="16"/>
      <c r="G599" s="16"/>
      <c r="H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 customHeight="1" spans="1:29">
      <c r="A600" s="16"/>
      <c r="B600" s="16"/>
      <c r="C600" s="16"/>
      <c r="D600" s="16"/>
      <c r="E600" s="16"/>
      <c r="F600" s="16"/>
      <c r="G600" s="16"/>
      <c r="H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 customHeight="1" spans="1:29">
      <c r="A601" s="16"/>
      <c r="B601" s="16"/>
      <c r="C601" s="16"/>
      <c r="D601" s="16"/>
      <c r="E601" s="16"/>
      <c r="F601" s="16"/>
      <c r="G601" s="16"/>
      <c r="H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 customHeight="1" spans="1:29">
      <c r="A602" s="16"/>
      <c r="B602" s="16"/>
      <c r="C602" s="16"/>
      <c r="D602" s="16"/>
      <c r="E602" s="16"/>
      <c r="F602" s="16"/>
      <c r="G602" s="16"/>
      <c r="H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 customHeight="1" spans="1:29">
      <c r="A603" s="16"/>
      <c r="B603" s="16"/>
      <c r="C603" s="16"/>
      <c r="D603" s="16"/>
      <c r="E603" s="16"/>
      <c r="F603" s="16"/>
      <c r="G603" s="16"/>
      <c r="H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 customHeight="1" spans="1:29">
      <c r="A604" s="16"/>
      <c r="B604" s="16"/>
      <c r="C604" s="16"/>
      <c r="D604" s="16"/>
      <c r="E604" s="16"/>
      <c r="F604" s="16"/>
      <c r="G604" s="16"/>
      <c r="H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 customHeight="1" spans="1:29">
      <c r="A605" s="16"/>
      <c r="B605" s="16"/>
      <c r="C605" s="16"/>
      <c r="D605" s="16"/>
      <c r="E605" s="16"/>
      <c r="F605" s="16"/>
      <c r="G605" s="16"/>
      <c r="H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 customHeight="1" spans="1:29">
      <c r="A606" s="16"/>
      <c r="B606" s="16"/>
      <c r="C606" s="16"/>
      <c r="D606" s="16"/>
      <c r="E606" s="16"/>
      <c r="F606" s="16"/>
      <c r="G606" s="16"/>
      <c r="H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 customHeight="1" spans="1:29">
      <c r="A607" s="16"/>
      <c r="B607" s="16"/>
      <c r="C607" s="16"/>
      <c r="D607" s="16"/>
      <c r="E607" s="16"/>
      <c r="F607" s="16"/>
      <c r="G607" s="16"/>
      <c r="H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 customHeight="1" spans="1:29">
      <c r="A608" s="16"/>
      <c r="B608" s="16"/>
      <c r="C608" s="16"/>
      <c r="D608" s="16"/>
      <c r="E608" s="16"/>
      <c r="F608" s="16"/>
      <c r="G608" s="16"/>
      <c r="H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 customHeight="1" spans="1:29">
      <c r="A609" s="16"/>
      <c r="B609" s="16"/>
      <c r="C609" s="16"/>
      <c r="D609" s="16"/>
      <c r="E609" s="16"/>
      <c r="F609" s="16"/>
      <c r="G609" s="16"/>
      <c r="H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 customHeight="1" spans="1:29">
      <c r="A610" s="16"/>
      <c r="B610" s="16"/>
      <c r="C610" s="16"/>
      <c r="D610" s="16"/>
      <c r="E610" s="16"/>
      <c r="F610" s="16"/>
      <c r="G610" s="16"/>
      <c r="H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 customHeight="1" spans="1:29">
      <c r="A611" s="16"/>
      <c r="B611" s="16"/>
      <c r="C611" s="16"/>
      <c r="D611" s="16"/>
      <c r="E611" s="16"/>
      <c r="F611" s="16"/>
      <c r="G611" s="16"/>
      <c r="H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 customHeight="1" spans="1:29">
      <c r="A612" s="16"/>
      <c r="B612" s="16"/>
      <c r="C612" s="16"/>
      <c r="D612" s="16"/>
      <c r="E612" s="16"/>
      <c r="F612" s="16"/>
      <c r="G612" s="16"/>
      <c r="H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 customHeight="1" spans="1:29">
      <c r="A613" s="16"/>
      <c r="B613" s="16"/>
      <c r="C613" s="16"/>
      <c r="D613" s="16"/>
      <c r="E613" s="16"/>
      <c r="F613" s="16"/>
      <c r="G613" s="16"/>
      <c r="H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 customHeight="1" spans="1:29">
      <c r="A614" s="16"/>
      <c r="B614" s="16"/>
      <c r="C614" s="16"/>
      <c r="D614" s="16"/>
      <c r="E614" s="16"/>
      <c r="F614" s="16"/>
      <c r="G614" s="16"/>
      <c r="H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 customHeight="1" spans="1:29">
      <c r="A615" s="16"/>
      <c r="B615" s="16"/>
      <c r="C615" s="16"/>
      <c r="D615" s="16"/>
      <c r="E615" s="16"/>
      <c r="F615" s="16"/>
      <c r="G615" s="16"/>
      <c r="H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 customHeight="1" spans="1:29">
      <c r="A616" s="16"/>
      <c r="B616" s="16"/>
      <c r="C616" s="16"/>
      <c r="D616" s="16"/>
      <c r="E616" s="16"/>
      <c r="F616" s="16"/>
      <c r="G616" s="16"/>
      <c r="H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 customHeight="1" spans="1:29">
      <c r="A617" s="16"/>
      <c r="B617" s="16"/>
      <c r="C617" s="16"/>
      <c r="D617" s="16"/>
      <c r="E617" s="16"/>
      <c r="F617" s="16"/>
      <c r="G617" s="16"/>
      <c r="H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 customHeight="1" spans="1:29">
      <c r="A618" s="16"/>
      <c r="B618" s="16"/>
      <c r="C618" s="16"/>
      <c r="D618" s="16"/>
      <c r="E618" s="16"/>
      <c r="F618" s="16"/>
      <c r="G618" s="16"/>
      <c r="H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 customHeight="1" spans="1:29">
      <c r="A619" s="16"/>
      <c r="B619" s="16"/>
      <c r="C619" s="16"/>
      <c r="D619" s="16"/>
      <c r="E619" s="16"/>
      <c r="F619" s="16"/>
      <c r="G619" s="16"/>
      <c r="H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 customHeight="1" spans="1:29">
      <c r="A620" s="16"/>
      <c r="B620" s="16"/>
      <c r="C620" s="16"/>
      <c r="D620" s="16"/>
      <c r="E620" s="16"/>
      <c r="F620" s="16"/>
      <c r="G620" s="16"/>
      <c r="H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 customHeight="1" spans="1:29">
      <c r="A621" s="16"/>
      <c r="B621" s="16"/>
      <c r="C621" s="16"/>
      <c r="D621" s="16"/>
      <c r="E621" s="16"/>
      <c r="F621" s="16"/>
      <c r="G621" s="16"/>
      <c r="H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 customHeight="1" spans="1:29">
      <c r="A622" s="16"/>
      <c r="B622" s="16"/>
      <c r="C622" s="16"/>
      <c r="D622" s="16"/>
      <c r="E622" s="16"/>
      <c r="F622" s="16"/>
      <c r="G622" s="16"/>
      <c r="H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 customHeight="1" spans="1:29">
      <c r="A623" s="16"/>
      <c r="B623" s="16"/>
      <c r="C623" s="16"/>
      <c r="D623" s="16"/>
      <c r="E623" s="16"/>
      <c r="F623" s="16"/>
      <c r="G623" s="16"/>
      <c r="H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 customHeight="1" spans="1:29">
      <c r="A624" s="16"/>
      <c r="B624" s="16"/>
      <c r="C624" s="16"/>
      <c r="D624" s="16"/>
      <c r="E624" s="16"/>
      <c r="F624" s="16"/>
      <c r="G624" s="16"/>
      <c r="H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 customHeight="1" spans="1:29">
      <c r="A625" s="16"/>
      <c r="B625" s="16"/>
      <c r="C625" s="16"/>
      <c r="D625" s="16"/>
      <c r="E625" s="16"/>
      <c r="F625" s="16"/>
      <c r="G625" s="16"/>
      <c r="H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 customHeight="1" spans="1:29">
      <c r="A626" s="16"/>
      <c r="B626" s="16"/>
      <c r="C626" s="16"/>
      <c r="D626" s="16"/>
      <c r="E626" s="16"/>
      <c r="F626" s="16"/>
      <c r="G626" s="16"/>
      <c r="H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 customHeight="1" spans="1:29">
      <c r="A627" s="16"/>
      <c r="B627" s="16"/>
      <c r="C627" s="16"/>
      <c r="D627" s="16"/>
      <c r="E627" s="16"/>
      <c r="F627" s="16"/>
      <c r="G627" s="16"/>
      <c r="H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 customHeight="1" spans="1:29">
      <c r="A628" s="16"/>
      <c r="B628" s="16"/>
      <c r="C628" s="16"/>
      <c r="D628" s="16"/>
      <c r="E628" s="16"/>
      <c r="F628" s="16"/>
      <c r="G628" s="16"/>
      <c r="H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 customHeight="1" spans="1:29">
      <c r="A629" s="16"/>
      <c r="B629" s="16"/>
      <c r="C629" s="16"/>
      <c r="D629" s="16"/>
      <c r="E629" s="16"/>
      <c r="F629" s="16"/>
      <c r="G629" s="16"/>
      <c r="H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 customHeight="1" spans="1:29">
      <c r="A630" s="16"/>
      <c r="B630" s="16"/>
      <c r="C630" s="16"/>
      <c r="D630" s="16"/>
      <c r="E630" s="16"/>
      <c r="F630" s="16"/>
      <c r="G630" s="16"/>
      <c r="H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 customHeight="1" spans="1:29">
      <c r="A631" s="16"/>
      <c r="B631" s="16"/>
      <c r="C631" s="16"/>
      <c r="D631" s="16"/>
      <c r="E631" s="16"/>
      <c r="F631" s="16"/>
      <c r="G631" s="16"/>
      <c r="H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 customHeight="1" spans="1:29">
      <c r="A632" s="16"/>
      <c r="B632" s="16"/>
      <c r="C632" s="16"/>
      <c r="D632" s="16"/>
      <c r="E632" s="16"/>
      <c r="F632" s="16"/>
      <c r="G632" s="16"/>
      <c r="H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 customHeight="1" spans="1:29">
      <c r="A633" s="16"/>
      <c r="B633" s="16"/>
      <c r="C633" s="16"/>
      <c r="D633" s="16"/>
      <c r="E633" s="16"/>
      <c r="F633" s="16"/>
      <c r="G633" s="16"/>
      <c r="H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 customHeight="1" spans="1:29">
      <c r="A634" s="16"/>
      <c r="B634" s="16"/>
      <c r="C634" s="16"/>
      <c r="D634" s="16"/>
      <c r="E634" s="16"/>
      <c r="F634" s="16"/>
      <c r="G634" s="16"/>
      <c r="H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 customHeight="1" spans="1:29">
      <c r="A635" s="16"/>
      <c r="B635" s="16"/>
      <c r="C635" s="16"/>
      <c r="D635" s="16"/>
      <c r="E635" s="16"/>
      <c r="F635" s="16"/>
      <c r="G635" s="16"/>
      <c r="H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 customHeight="1" spans="1:29">
      <c r="A636" s="16"/>
      <c r="B636" s="16"/>
      <c r="C636" s="16"/>
      <c r="D636" s="16"/>
      <c r="E636" s="16"/>
      <c r="F636" s="16"/>
      <c r="G636" s="16"/>
      <c r="H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 customHeight="1" spans="1:29">
      <c r="A637" s="16"/>
      <c r="B637" s="16"/>
      <c r="C637" s="16"/>
      <c r="D637" s="16"/>
      <c r="E637" s="16"/>
      <c r="F637" s="16"/>
      <c r="G637" s="16"/>
      <c r="H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 customHeight="1" spans="1:29">
      <c r="A638" s="16"/>
      <c r="B638" s="16"/>
      <c r="C638" s="16"/>
      <c r="D638" s="16"/>
      <c r="E638" s="16"/>
      <c r="F638" s="16"/>
      <c r="G638" s="16"/>
      <c r="H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 customHeight="1" spans="1:29">
      <c r="A639" s="16"/>
      <c r="B639" s="16"/>
      <c r="C639" s="16"/>
      <c r="D639" s="16"/>
      <c r="E639" s="16"/>
      <c r="F639" s="16"/>
      <c r="G639" s="16"/>
      <c r="H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 customHeight="1" spans="1:29">
      <c r="A640" s="16"/>
      <c r="B640" s="16"/>
      <c r="C640" s="16"/>
      <c r="D640" s="16"/>
      <c r="E640" s="16"/>
      <c r="F640" s="16"/>
      <c r="G640" s="16"/>
      <c r="H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 customHeight="1" spans="1:29">
      <c r="A641" s="16"/>
      <c r="B641" s="16"/>
      <c r="C641" s="16"/>
      <c r="D641" s="16"/>
      <c r="E641" s="16"/>
      <c r="F641" s="16"/>
      <c r="G641" s="16"/>
      <c r="H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 customHeight="1" spans="1:29">
      <c r="A642" s="16"/>
      <c r="B642" s="16"/>
      <c r="C642" s="16"/>
      <c r="D642" s="16"/>
      <c r="E642" s="16"/>
      <c r="F642" s="16"/>
      <c r="G642" s="16"/>
      <c r="H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 customHeight="1" spans="1:29">
      <c r="A643" s="16"/>
      <c r="B643" s="16"/>
      <c r="C643" s="16"/>
      <c r="D643" s="16"/>
      <c r="E643" s="16"/>
      <c r="F643" s="16"/>
      <c r="G643" s="16"/>
      <c r="H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 customHeight="1" spans="1:29">
      <c r="A644" s="16"/>
      <c r="B644" s="16"/>
      <c r="C644" s="16"/>
      <c r="D644" s="16"/>
      <c r="E644" s="16"/>
      <c r="F644" s="16"/>
      <c r="G644" s="16"/>
      <c r="H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 customHeight="1" spans="1:29">
      <c r="A645" s="16"/>
      <c r="B645" s="16"/>
      <c r="C645" s="16"/>
      <c r="D645" s="16"/>
      <c r="E645" s="16"/>
      <c r="F645" s="16"/>
      <c r="G645" s="16"/>
      <c r="H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 customHeight="1" spans="1:29">
      <c r="A646" s="16"/>
      <c r="B646" s="16"/>
      <c r="C646" s="16"/>
      <c r="D646" s="16"/>
      <c r="E646" s="16"/>
      <c r="F646" s="16"/>
      <c r="G646" s="16"/>
      <c r="H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 customHeight="1" spans="1:29">
      <c r="A647" s="16"/>
      <c r="B647" s="16"/>
      <c r="C647" s="16"/>
      <c r="D647" s="16"/>
      <c r="E647" s="16"/>
      <c r="F647" s="16"/>
      <c r="G647" s="16"/>
      <c r="H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 customHeight="1" spans="1:29">
      <c r="A648" s="16"/>
      <c r="B648" s="16"/>
      <c r="C648" s="16"/>
      <c r="D648" s="16"/>
      <c r="E648" s="16"/>
      <c r="F648" s="16"/>
      <c r="G648" s="16"/>
      <c r="H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 customHeight="1" spans="1:29">
      <c r="A649" s="16"/>
      <c r="B649" s="16"/>
      <c r="C649" s="16"/>
      <c r="D649" s="16"/>
      <c r="E649" s="16"/>
      <c r="F649" s="16"/>
      <c r="G649" s="16"/>
      <c r="H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 customHeight="1" spans="1:29">
      <c r="A650" s="16"/>
      <c r="B650" s="16"/>
      <c r="C650" s="16"/>
      <c r="D650" s="16"/>
      <c r="E650" s="16"/>
      <c r="F650" s="16"/>
      <c r="G650" s="16"/>
      <c r="H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 customHeight="1" spans="1:29">
      <c r="A651" s="16"/>
      <c r="B651" s="16"/>
      <c r="C651" s="16"/>
      <c r="D651" s="16"/>
      <c r="E651" s="16"/>
      <c r="F651" s="16"/>
      <c r="G651" s="16"/>
      <c r="H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 customHeight="1" spans="1:29">
      <c r="A652" s="16"/>
      <c r="B652" s="16"/>
      <c r="C652" s="16"/>
      <c r="D652" s="16"/>
      <c r="E652" s="16"/>
      <c r="F652" s="16"/>
      <c r="G652" s="16"/>
      <c r="H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 customHeight="1" spans="1:29">
      <c r="A653" s="16"/>
      <c r="B653" s="16"/>
      <c r="C653" s="16"/>
      <c r="D653" s="16"/>
      <c r="E653" s="16"/>
      <c r="F653" s="16"/>
      <c r="G653" s="16"/>
      <c r="H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 customHeight="1" spans="1:29">
      <c r="A654" s="16"/>
      <c r="B654" s="16"/>
      <c r="C654" s="16"/>
      <c r="D654" s="16"/>
      <c r="E654" s="16"/>
      <c r="F654" s="16"/>
      <c r="G654" s="16"/>
      <c r="H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 customHeight="1" spans="1:29">
      <c r="A655" s="16"/>
      <c r="B655" s="16"/>
      <c r="C655" s="16"/>
      <c r="D655" s="16"/>
      <c r="E655" s="16"/>
      <c r="F655" s="16"/>
      <c r="G655" s="16"/>
      <c r="H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 customHeight="1" spans="1:29">
      <c r="A656" s="16"/>
      <c r="B656" s="16"/>
      <c r="C656" s="16"/>
      <c r="D656" s="16"/>
      <c r="E656" s="16"/>
      <c r="F656" s="16"/>
      <c r="G656" s="16"/>
      <c r="H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 customHeight="1" spans="1:29">
      <c r="A657" s="16"/>
      <c r="B657" s="16"/>
      <c r="C657" s="16"/>
      <c r="D657" s="16"/>
      <c r="E657" s="16"/>
      <c r="F657" s="16"/>
      <c r="G657" s="16"/>
      <c r="H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 customHeight="1" spans="1:29">
      <c r="A658" s="16"/>
      <c r="B658" s="16"/>
      <c r="C658" s="16"/>
      <c r="D658" s="16"/>
      <c r="E658" s="16"/>
      <c r="F658" s="16"/>
      <c r="G658" s="16"/>
      <c r="H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 customHeight="1" spans="1:29">
      <c r="A659" s="16"/>
      <c r="B659" s="16"/>
      <c r="C659" s="16"/>
      <c r="D659" s="16"/>
      <c r="E659" s="16"/>
      <c r="F659" s="16"/>
      <c r="G659" s="16"/>
      <c r="H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 customHeight="1" spans="1:29">
      <c r="A660" s="16"/>
      <c r="B660" s="16"/>
      <c r="C660" s="16"/>
      <c r="D660" s="16"/>
      <c r="E660" s="16"/>
      <c r="F660" s="16"/>
      <c r="G660" s="16"/>
      <c r="H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 customHeight="1" spans="1:29">
      <c r="A661" s="16"/>
      <c r="B661" s="16"/>
      <c r="C661" s="16"/>
      <c r="D661" s="16"/>
      <c r="E661" s="16"/>
      <c r="F661" s="16"/>
      <c r="G661" s="16"/>
      <c r="H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 customHeight="1" spans="1:29">
      <c r="A662" s="16"/>
      <c r="B662" s="16"/>
      <c r="C662" s="16"/>
      <c r="D662" s="16"/>
      <c r="E662" s="16"/>
      <c r="F662" s="16"/>
      <c r="G662" s="16"/>
      <c r="H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 customHeight="1" spans="1:29">
      <c r="A663" s="16"/>
      <c r="B663" s="16"/>
      <c r="C663" s="16"/>
      <c r="D663" s="16"/>
      <c r="E663" s="16"/>
      <c r="F663" s="16"/>
      <c r="G663" s="16"/>
      <c r="H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 customHeight="1" spans="1:29">
      <c r="A664" s="16"/>
      <c r="B664" s="16"/>
      <c r="C664" s="16"/>
      <c r="D664" s="16"/>
      <c r="E664" s="16"/>
      <c r="F664" s="16"/>
      <c r="G664" s="16"/>
      <c r="H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 customHeight="1" spans="1:29">
      <c r="A665" s="16"/>
      <c r="B665" s="16"/>
      <c r="C665" s="16"/>
      <c r="D665" s="16"/>
      <c r="E665" s="16"/>
      <c r="F665" s="16"/>
      <c r="G665" s="16"/>
      <c r="H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 customHeight="1" spans="1:29">
      <c r="A666" s="16"/>
      <c r="B666" s="16"/>
      <c r="C666" s="16"/>
      <c r="D666" s="16"/>
      <c r="E666" s="16"/>
      <c r="F666" s="16"/>
      <c r="G666" s="16"/>
      <c r="H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 customHeight="1" spans="1:29">
      <c r="A667" s="16"/>
      <c r="B667" s="16"/>
      <c r="C667" s="16"/>
      <c r="D667" s="16"/>
      <c r="E667" s="16"/>
      <c r="F667" s="16"/>
      <c r="G667" s="16"/>
      <c r="H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 customHeight="1" spans="1:29">
      <c r="A668" s="16"/>
      <c r="B668" s="16"/>
      <c r="C668" s="16"/>
      <c r="D668" s="16"/>
      <c r="E668" s="16"/>
      <c r="F668" s="16"/>
      <c r="G668" s="16"/>
      <c r="H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 customHeight="1" spans="1:29">
      <c r="A669" s="16"/>
      <c r="B669" s="16"/>
      <c r="C669" s="16"/>
      <c r="D669" s="16"/>
      <c r="E669" s="16"/>
      <c r="F669" s="16"/>
      <c r="G669" s="16"/>
      <c r="H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 customHeight="1" spans="1:29">
      <c r="A670" s="16"/>
      <c r="B670" s="16"/>
      <c r="C670" s="16"/>
      <c r="D670" s="16"/>
      <c r="E670" s="16"/>
      <c r="F670" s="16"/>
      <c r="G670" s="16"/>
      <c r="H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 customHeight="1" spans="1:29">
      <c r="A671" s="16"/>
      <c r="B671" s="16"/>
      <c r="C671" s="16"/>
      <c r="D671" s="16"/>
      <c r="E671" s="16"/>
      <c r="F671" s="16"/>
      <c r="G671" s="16"/>
      <c r="H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 customHeight="1" spans="1:29">
      <c r="A672" s="16"/>
      <c r="B672" s="16"/>
      <c r="C672" s="16"/>
      <c r="D672" s="16"/>
      <c r="E672" s="16"/>
      <c r="F672" s="16"/>
      <c r="G672" s="16"/>
      <c r="H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 customHeight="1" spans="1:29">
      <c r="A673" s="16"/>
      <c r="B673" s="16"/>
      <c r="C673" s="16"/>
      <c r="D673" s="16"/>
      <c r="E673" s="16"/>
      <c r="F673" s="16"/>
      <c r="G673" s="16"/>
      <c r="H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 customHeight="1" spans="1:29">
      <c r="A674" s="16"/>
      <c r="B674" s="16"/>
      <c r="C674" s="16"/>
      <c r="D674" s="16"/>
      <c r="E674" s="16"/>
      <c r="F674" s="16"/>
      <c r="G674" s="16"/>
      <c r="H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 customHeight="1" spans="1:29">
      <c r="A675" s="16"/>
      <c r="B675" s="16"/>
      <c r="C675" s="16"/>
      <c r="D675" s="16"/>
      <c r="E675" s="16"/>
      <c r="F675" s="16"/>
      <c r="G675" s="16"/>
      <c r="H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 customHeight="1" spans="1:29">
      <c r="A676" s="16"/>
      <c r="B676" s="16"/>
      <c r="C676" s="16"/>
      <c r="D676" s="16"/>
      <c r="E676" s="16"/>
      <c r="F676" s="16"/>
      <c r="G676" s="16"/>
      <c r="H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 customHeight="1" spans="1:29">
      <c r="A677" s="16"/>
      <c r="B677" s="16"/>
      <c r="C677" s="16"/>
      <c r="D677" s="16"/>
      <c r="E677" s="16"/>
      <c r="F677" s="16"/>
      <c r="G677" s="16"/>
      <c r="H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 customHeight="1" spans="1:29">
      <c r="A678" s="16"/>
      <c r="B678" s="16"/>
      <c r="C678" s="16"/>
      <c r="D678" s="16"/>
      <c r="E678" s="16"/>
      <c r="F678" s="16"/>
      <c r="G678" s="16"/>
      <c r="H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 customHeight="1" spans="1:29">
      <c r="A679" s="16"/>
      <c r="B679" s="16"/>
      <c r="C679" s="16"/>
      <c r="D679" s="16"/>
      <c r="E679" s="16"/>
      <c r="F679" s="16"/>
      <c r="G679" s="16"/>
      <c r="H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 customHeight="1" spans="1:29">
      <c r="A680" s="16"/>
      <c r="B680" s="16"/>
      <c r="C680" s="16"/>
      <c r="D680" s="16"/>
      <c r="E680" s="16"/>
      <c r="F680" s="16"/>
      <c r="G680" s="16"/>
      <c r="H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 customHeight="1" spans="1:29">
      <c r="A681" s="16"/>
      <c r="B681" s="16"/>
      <c r="C681" s="16"/>
      <c r="D681" s="16"/>
      <c r="E681" s="16"/>
      <c r="F681" s="16"/>
      <c r="G681" s="16"/>
      <c r="H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 customHeight="1" spans="1:29">
      <c r="A682" s="16"/>
      <c r="B682" s="16"/>
      <c r="C682" s="16"/>
      <c r="D682" s="16"/>
      <c r="E682" s="16"/>
      <c r="F682" s="16"/>
      <c r="G682" s="16"/>
      <c r="H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 customHeight="1" spans="1:29">
      <c r="A683" s="16"/>
      <c r="B683" s="16"/>
      <c r="C683" s="16"/>
      <c r="D683" s="16"/>
      <c r="E683" s="16"/>
      <c r="F683" s="16"/>
      <c r="G683" s="16"/>
      <c r="H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 customHeight="1" spans="1:29">
      <c r="A684" s="16"/>
      <c r="B684" s="16"/>
      <c r="C684" s="16"/>
      <c r="D684" s="16"/>
      <c r="E684" s="16"/>
      <c r="F684" s="16"/>
      <c r="G684" s="16"/>
      <c r="H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 customHeight="1" spans="1:29">
      <c r="A685" s="16"/>
      <c r="B685" s="16"/>
      <c r="C685" s="16"/>
      <c r="D685" s="16"/>
      <c r="E685" s="16"/>
      <c r="F685" s="16"/>
      <c r="G685" s="16"/>
      <c r="H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 customHeight="1" spans="1:29">
      <c r="A686" s="16"/>
      <c r="B686" s="16"/>
      <c r="C686" s="16"/>
      <c r="D686" s="16"/>
      <c r="E686" s="16"/>
      <c r="F686" s="16"/>
      <c r="G686" s="16"/>
      <c r="H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 customHeight="1" spans="1:29">
      <c r="A687" s="16"/>
      <c r="B687" s="16"/>
      <c r="C687" s="16"/>
      <c r="D687" s="16"/>
      <c r="E687" s="16"/>
      <c r="F687" s="16"/>
      <c r="G687" s="16"/>
      <c r="H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 customHeight="1" spans="1:29">
      <c r="A688" s="16"/>
      <c r="B688" s="16"/>
      <c r="C688" s="16"/>
      <c r="D688" s="16"/>
      <c r="E688" s="16"/>
      <c r="F688" s="16"/>
      <c r="G688" s="16"/>
      <c r="H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 customHeight="1" spans="1:29">
      <c r="A689" s="16"/>
      <c r="B689" s="16"/>
      <c r="C689" s="16"/>
      <c r="D689" s="16"/>
      <c r="E689" s="16"/>
      <c r="F689" s="16"/>
      <c r="G689" s="16"/>
      <c r="H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 customHeight="1" spans="1:29">
      <c r="A690" s="16"/>
      <c r="B690" s="16"/>
      <c r="C690" s="16"/>
      <c r="D690" s="16"/>
      <c r="E690" s="16"/>
      <c r="F690" s="16"/>
      <c r="G690" s="16"/>
      <c r="H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 customHeight="1" spans="1:29">
      <c r="A691" s="16"/>
      <c r="B691" s="16"/>
      <c r="C691" s="16"/>
      <c r="D691" s="16"/>
      <c r="E691" s="16"/>
      <c r="F691" s="16"/>
      <c r="G691" s="16"/>
      <c r="H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 customHeight="1" spans="1:29">
      <c r="A692" s="16"/>
      <c r="B692" s="16"/>
      <c r="C692" s="16"/>
      <c r="D692" s="16"/>
      <c r="E692" s="16"/>
      <c r="F692" s="16"/>
      <c r="G692" s="16"/>
      <c r="H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 customHeight="1" spans="1:29">
      <c r="A693" s="16"/>
      <c r="B693" s="16"/>
      <c r="C693" s="16"/>
      <c r="D693" s="16"/>
      <c r="E693" s="16"/>
      <c r="F693" s="16"/>
      <c r="G693" s="16"/>
      <c r="H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 customHeight="1" spans="1:29">
      <c r="A694" s="16"/>
      <c r="B694" s="16"/>
      <c r="C694" s="16"/>
      <c r="D694" s="16"/>
      <c r="E694" s="16"/>
      <c r="F694" s="16"/>
      <c r="G694" s="16"/>
      <c r="H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 customHeight="1" spans="1:29">
      <c r="A695" s="16"/>
      <c r="B695" s="16"/>
      <c r="C695" s="16"/>
      <c r="D695" s="16"/>
      <c r="E695" s="16"/>
      <c r="F695" s="16"/>
      <c r="G695" s="16"/>
      <c r="H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 customHeight="1" spans="1:29">
      <c r="A696" s="16"/>
      <c r="B696" s="16"/>
      <c r="C696" s="16"/>
      <c r="D696" s="16"/>
      <c r="E696" s="16"/>
      <c r="F696" s="16"/>
      <c r="G696" s="16"/>
      <c r="H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 customHeight="1" spans="1:29">
      <c r="A697" s="16"/>
      <c r="B697" s="16"/>
      <c r="C697" s="16"/>
      <c r="D697" s="16"/>
      <c r="E697" s="16"/>
      <c r="F697" s="16"/>
      <c r="G697" s="16"/>
      <c r="H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 customHeight="1" spans="1:29">
      <c r="A698" s="16"/>
      <c r="B698" s="16"/>
      <c r="C698" s="16"/>
      <c r="D698" s="16"/>
      <c r="E698" s="16"/>
      <c r="F698" s="16"/>
      <c r="G698" s="16"/>
      <c r="H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 customHeight="1" spans="1:29">
      <c r="A699" s="16"/>
      <c r="B699" s="16"/>
      <c r="C699" s="16"/>
      <c r="D699" s="16"/>
      <c r="E699" s="16"/>
      <c r="F699" s="16"/>
      <c r="G699" s="16"/>
      <c r="H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 customHeight="1" spans="1:29">
      <c r="A700" s="16"/>
      <c r="B700" s="16"/>
      <c r="C700" s="16"/>
      <c r="D700" s="16"/>
      <c r="E700" s="16"/>
      <c r="F700" s="16"/>
      <c r="G700" s="16"/>
      <c r="H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 customHeight="1" spans="1:29">
      <c r="A701" s="16"/>
      <c r="B701" s="16"/>
      <c r="C701" s="16"/>
      <c r="D701" s="16"/>
      <c r="E701" s="16"/>
      <c r="F701" s="16"/>
      <c r="G701" s="16"/>
      <c r="H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 customHeight="1" spans="1:29">
      <c r="A702" s="16"/>
      <c r="B702" s="16"/>
      <c r="C702" s="16"/>
      <c r="D702" s="16"/>
      <c r="E702" s="16"/>
      <c r="F702" s="16"/>
      <c r="G702" s="16"/>
      <c r="H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 customHeight="1" spans="1:29">
      <c r="A703" s="16"/>
      <c r="B703" s="16"/>
      <c r="C703" s="16"/>
      <c r="D703" s="16"/>
      <c r="E703" s="16"/>
      <c r="F703" s="16"/>
      <c r="G703" s="16"/>
      <c r="H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 customHeight="1" spans="1:29">
      <c r="A704" s="16"/>
      <c r="B704" s="16"/>
      <c r="C704" s="16"/>
      <c r="D704" s="16"/>
      <c r="E704" s="16"/>
      <c r="F704" s="16"/>
      <c r="G704" s="16"/>
      <c r="H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 customHeight="1" spans="1:29">
      <c r="A705" s="16"/>
      <c r="B705" s="16"/>
      <c r="C705" s="16"/>
      <c r="D705" s="16"/>
      <c r="E705" s="16"/>
      <c r="F705" s="16"/>
      <c r="G705" s="16"/>
      <c r="H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 customHeight="1" spans="1:29">
      <c r="A706" s="16"/>
      <c r="B706" s="16"/>
      <c r="C706" s="16"/>
      <c r="D706" s="16"/>
      <c r="E706" s="16"/>
      <c r="F706" s="16"/>
      <c r="G706" s="16"/>
      <c r="H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 customHeight="1" spans="1:29">
      <c r="A707" s="16"/>
      <c r="B707" s="16"/>
      <c r="C707" s="16"/>
      <c r="D707" s="16"/>
      <c r="E707" s="16"/>
      <c r="F707" s="16"/>
      <c r="G707" s="16"/>
      <c r="H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 customHeight="1" spans="1:29">
      <c r="A708" s="16"/>
      <c r="B708" s="16"/>
      <c r="C708" s="16"/>
      <c r="D708" s="16"/>
      <c r="E708" s="16"/>
      <c r="F708" s="16"/>
      <c r="G708" s="16"/>
      <c r="H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 customHeight="1" spans="1:29">
      <c r="A709" s="16"/>
      <c r="B709" s="16"/>
      <c r="C709" s="16"/>
      <c r="D709" s="16"/>
      <c r="E709" s="16"/>
      <c r="F709" s="16"/>
      <c r="G709" s="16"/>
      <c r="H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 customHeight="1" spans="1:29">
      <c r="A710" s="16"/>
      <c r="B710" s="16"/>
      <c r="C710" s="16"/>
      <c r="D710" s="16"/>
      <c r="E710" s="16"/>
      <c r="F710" s="16"/>
      <c r="G710" s="16"/>
      <c r="H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 customHeight="1" spans="1:29">
      <c r="A711" s="16"/>
      <c r="B711" s="16"/>
      <c r="C711" s="16"/>
      <c r="D711" s="16"/>
      <c r="E711" s="16"/>
      <c r="F711" s="16"/>
      <c r="G711" s="16"/>
      <c r="H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 customHeight="1" spans="1:29">
      <c r="A712" s="16"/>
      <c r="B712" s="16"/>
      <c r="C712" s="16"/>
      <c r="D712" s="16"/>
      <c r="E712" s="16"/>
      <c r="F712" s="16"/>
      <c r="G712" s="16"/>
      <c r="H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 customHeight="1" spans="1:29">
      <c r="A713" s="16"/>
      <c r="B713" s="16"/>
      <c r="C713" s="16"/>
      <c r="D713" s="16"/>
      <c r="E713" s="16"/>
      <c r="F713" s="16"/>
      <c r="G713" s="16"/>
      <c r="H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 customHeight="1" spans="1:29">
      <c r="A714" s="16"/>
      <c r="B714" s="16"/>
      <c r="C714" s="16"/>
      <c r="D714" s="16"/>
      <c r="E714" s="16"/>
      <c r="F714" s="16"/>
      <c r="G714" s="16"/>
      <c r="H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 customHeight="1" spans="1:29">
      <c r="A715" s="16"/>
      <c r="B715" s="16"/>
      <c r="C715" s="16"/>
      <c r="D715" s="16"/>
      <c r="E715" s="16"/>
      <c r="F715" s="16"/>
      <c r="G715" s="16"/>
      <c r="H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 customHeight="1" spans="1:29">
      <c r="A716" s="16"/>
      <c r="B716" s="16"/>
      <c r="C716" s="16"/>
      <c r="D716" s="16"/>
      <c r="E716" s="16"/>
      <c r="F716" s="16"/>
      <c r="G716" s="16"/>
      <c r="H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 customHeight="1" spans="1:29">
      <c r="A717" s="16"/>
      <c r="B717" s="16"/>
      <c r="C717" s="16"/>
      <c r="D717" s="16"/>
      <c r="E717" s="16"/>
      <c r="F717" s="16"/>
      <c r="G717" s="16"/>
      <c r="H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 customHeight="1" spans="1:29">
      <c r="A718" s="16"/>
      <c r="B718" s="16"/>
      <c r="C718" s="16"/>
      <c r="D718" s="16"/>
      <c r="E718" s="16"/>
      <c r="F718" s="16"/>
      <c r="G718" s="16"/>
      <c r="H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 customHeight="1" spans="1:29">
      <c r="A719" s="16"/>
      <c r="B719" s="16"/>
      <c r="C719" s="16"/>
      <c r="D719" s="16"/>
      <c r="E719" s="16"/>
      <c r="F719" s="16"/>
      <c r="G719" s="16"/>
      <c r="H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 customHeight="1" spans="1:29">
      <c r="A720" s="16"/>
      <c r="B720" s="16"/>
      <c r="C720" s="16"/>
      <c r="D720" s="16"/>
      <c r="E720" s="16"/>
      <c r="F720" s="16"/>
      <c r="G720" s="16"/>
      <c r="H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 customHeight="1" spans="1:29">
      <c r="A721" s="16"/>
      <c r="B721" s="16"/>
      <c r="C721" s="16"/>
      <c r="D721" s="16"/>
      <c r="E721" s="16"/>
      <c r="F721" s="16"/>
      <c r="G721" s="16"/>
      <c r="H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 customHeight="1" spans="1:29">
      <c r="A722" s="16"/>
      <c r="B722" s="16"/>
      <c r="C722" s="16"/>
      <c r="D722" s="16"/>
      <c r="E722" s="16"/>
      <c r="F722" s="16"/>
      <c r="G722" s="16"/>
      <c r="H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 customHeight="1" spans="1:29">
      <c r="A723" s="16"/>
      <c r="B723" s="16"/>
      <c r="C723" s="16"/>
      <c r="D723" s="16"/>
      <c r="E723" s="16"/>
      <c r="F723" s="16"/>
      <c r="G723" s="16"/>
      <c r="H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 customHeight="1" spans="1:29">
      <c r="A724" s="16"/>
      <c r="B724" s="16"/>
      <c r="C724" s="16"/>
      <c r="D724" s="16"/>
      <c r="E724" s="16"/>
      <c r="F724" s="16"/>
      <c r="G724" s="16"/>
      <c r="H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 customHeight="1" spans="1:29">
      <c r="A725" s="16"/>
      <c r="B725" s="16"/>
      <c r="C725" s="16"/>
      <c r="D725" s="16"/>
      <c r="E725" s="16"/>
      <c r="F725" s="16"/>
      <c r="G725" s="16"/>
      <c r="H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 customHeight="1" spans="1:29">
      <c r="A726" s="16"/>
      <c r="B726" s="16"/>
      <c r="C726" s="16"/>
      <c r="D726" s="16"/>
      <c r="E726" s="16"/>
      <c r="F726" s="16"/>
      <c r="G726" s="16"/>
      <c r="H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 customHeight="1" spans="1:29">
      <c r="A727" s="16"/>
      <c r="B727" s="16"/>
      <c r="C727" s="16"/>
      <c r="D727" s="16"/>
      <c r="E727" s="16"/>
      <c r="F727" s="16"/>
      <c r="G727" s="16"/>
      <c r="H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 customHeight="1" spans="1:29">
      <c r="A728" s="16"/>
      <c r="B728" s="16"/>
      <c r="C728" s="16"/>
      <c r="D728" s="16"/>
      <c r="E728" s="16"/>
      <c r="F728" s="16"/>
      <c r="G728" s="16"/>
      <c r="H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 customHeight="1" spans="1:29">
      <c r="A729" s="16"/>
      <c r="B729" s="16"/>
      <c r="C729" s="16"/>
      <c r="D729" s="16"/>
      <c r="E729" s="16"/>
      <c r="F729" s="16"/>
      <c r="G729" s="16"/>
      <c r="H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 customHeight="1" spans="1:29">
      <c r="A730" s="16"/>
      <c r="B730" s="16"/>
      <c r="C730" s="16"/>
      <c r="D730" s="16"/>
      <c r="E730" s="16"/>
      <c r="F730" s="16"/>
      <c r="G730" s="16"/>
      <c r="H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 customHeight="1" spans="1:29">
      <c r="A731" s="16"/>
      <c r="B731" s="16"/>
      <c r="C731" s="16"/>
      <c r="D731" s="16"/>
      <c r="E731" s="16"/>
      <c r="F731" s="16"/>
      <c r="G731" s="16"/>
      <c r="H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 customHeight="1" spans="1:29">
      <c r="A732" s="16"/>
      <c r="B732" s="16"/>
      <c r="C732" s="16"/>
      <c r="D732" s="16"/>
      <c r="E732" s="16"/>
      <c r="F732" s="16"/>
      <c r="G732" s="16"/>
      <c r="H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 customHeight="1" spans="1:29">
      <c r="A733" s="16"/>
      <c r="B733" s="16"/>
      <c r="C733" s="16"/>
      <c r="D733" s="16"/>
      <c r="E733" s="16"/>
      <c r="F733" s="16"/>
      <c r="G733" s="16"/>
      <c r="H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 customHeight="1" spans="1:29">
      <c r="A734" s="16"/>
      <c r="B734" s="16"/>
      <c r="C734" s="16"/>
      <c r="D734" s="16"/>
      <c r="E734" s="16"/>
      <c r="F734" s="16"/>
      <c r="G734" s="16"/>
      <c r="H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 customHeight="1" spans="1:29">
      <c r="A735" s="16"/>
      <c r="B735" s="16"/>
      <c r="C735" s="16"/>
      <c r="D735" s="16"/>
      <c r="E735" s="16"/>
      <c r="F735" s="16"/>
      <c r="G735" s="16"/>
      <c r="H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 customHeight="1" spans="1:29">
      <c r="A736" s="16"/>
      <c r="B736" s="16"/>
      <c r="C736" s="16"/>
      <c r="D736" s="16"/>
      <c r="E736" s="16"/>
      <c r="F736" s="16"/>
      <c r="G736" s="16"/>
      <c r="H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 customHeight="1" spans="1:29">
      <c r="A737" s="16"/>
      <c r="B737" s="16"/>
      <c r="C737" s="16"/>
      <c r="D737" s="16"/>
      <c r="E737" s="16"/>
      <c r="F737" s="16"/>
      <c r="G737" s="16"/>
      <c r="H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 customHeight="1" spans="1:29">
      <c r="A738" s="16"/>
      <c r="B738" s="16"/>
      <c r="C738" s="16"/>
      <c r="D738" s="16"/>
      <c r="E738" s="16"/>
      <c r="F738" s="16"/>
      <c r="G738" s="16"/>
      <c r="H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 customHeight="1" spans="1:29">
      <c r="A739" s="16"/>
      <c r="B739" s="16"/>
      <c r="C739" s="16"/>
      <c r="D739" s="16"/>
      <c r="E739" s="16"/>
      <c r="F739" s="16"/>
      <c r="G739" s="16"/>
      <c r="H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 customHeight="1" spans="1:29">
      <c r="A740" s="16"/>
      <c r="B740" s="16"/>
      <c r="C740" s="16"/>
      <c r="D740" s="16"/>
      <c r="E740" s="16"/>
      <c r="F740" s="16"/>
      <c r="G740" s="16"/>
      <c r="H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 customHeight="1" spans="1:29">
      <c r="A741" s="16"/>
      <c r="B741" s="16"/>
      <c r="C741" s="16"/>
      <c r="D741" s="16"/>
      <c r="E741" s="16"/>
      <c r="F741" s="16"/>
      <c r="G741" s="16"/>
      <c r="H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 customHeight="1" spans="1:29">
      <c r="A742" s="16"/>
      <c r="B742" s="16"/>
      <c r="C742" s="16"/>
      <c r="D742" s="16"/>
      <c r="E742" s="16"/>
      <c r="F742" s="16"/>
      <c r="G742" s="16"/>
      <c r="H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 customHeight="1" spans="1:29">
      <c r="A743" s="16"/>
      <c r="B743" s="16"/>
      <c r="C743" s="16"/>
      <c r="D743" s="16"/>
      <c r="E743" s="16"/>
      <c r="F743" s="16"/>
      <c r="G743" s="16"/>
      <c r="H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 customHeight="1" spans="1:29">
      <c r="A744" s="16"/>
      <c r="B744" s="16"/>
      <c r="C744" s="16"/>
      <c r="D744" s="16"/>
      <c r="E744" s="16"/>
      <c r="F744" s="16"/>
      <c r="G744" s="16"/>
      <c r="H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 customHeight="1" spans="1:29">
      <c r="A745" s="16"/>
      <c r="B745" s="16"/>
      <c r="C745" s="16"/>
      <c r="D745" s="16"/>
      <c r="E745" s="16"/>
      <c r="F745" s="16"/>
      <c r="G745" s="16"/>
      <c r="H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 customHeight="1" spans="1:29">
      <c r="A746" s="16"/>
      <c r="B746" s="16"/>
      <c r="C746" s="16"/>
      <c r="D746" s="16"/>
      <c r="E746" s="16"/>
      <c r="F746" s="16"/>
      <c r="G746" s="16"/>
      <c r="H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 customHeight="1" spans="1:29">
      <c r="A747" s="16"/>
      <c r="B747" s="16"/>
      <c r="C747" s="16"/>
      <c r="D747" s="16"/>
      <c r="E747" s="16"/>
      <c r="F747" s="16"/>
      <c r="G747" s="16"/>
      <c r="H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 customHeight="1" spans="1:29">
      <c r="A748" s="16"/>
      <c r="B748" s="16"/>
      <c r="C748" s="16"/>
      <c r="D748" s="16"/>
      <c r="E748" s="16"/>
      <c r="F748" s="16"/>
      <c r="G748" s="16"/>
      <c r="H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 customHeight="1" spans="1:29">
      <c r="A749" s="16"/>
      <c r="B749" s="16"/>
      <c r="C749" s="16"/>
      <c r="D749" s="16"/>
      <c r="E749" s="16"/>
      <c r="F749" s="16"/>
      <c r="G749" s="16"/>
      <c r="H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 customHeight="1" spans="1:29">
      <c r="A750" s="16"/>
      <c r="B750" s="16"/>
      <c r="C750" s="16"/>
      <c r="D750" s="16"/>
      <c r="E750" s="16"/>
      <c r="F750" s="16"/>
      <c r="G750" s="16"/>
      <c r="H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 customHeight="1" spans="1:29">
      <c r="A751" s="16"/>
      <c r="B751" s="16"/>
      <c r="C751" s="16"/>
      <c r="D751" s="16"/>
      <c r="E751" s="16"/>
      <c r="F751" s="16"/>
      <c r="G751" s="16"/>
      <c r="H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 customHeight="1" spans="1:29">
      <c r="A752" s="16"/>
      <c r="B752" s="16"/>
      <c r="C752" s="16"/>
      <c r="D752" s="16"/>
      <c r="E752" s="16"/>
      <c r="F752" s="16"/>
      <c r="G752" s="16"/>
      <c r="H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 customHeight="1" spans="1:29">
      <c r="A753" s="16"/>
      <c r="B753" s="16"/>
      <c r="C753" s="16"/>
      <c r="D753" s="16"/>
      <c r="E753" s="16"/>
      <c r="F753" s="16"/>
      <c r="G753" s="16"/>
      <c r="H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 customHeight="1" spans="1:29">
      <c r="A754" s="16"/>
      <c r="B754" s="16"/>
      <c r="C754" s="16"/>
      <c r="D754" s="16"/>
      <c r="E754" s="16"/>
      <c r="F754" s="16"/>
      <c r="G754" s="16"/>
      <c r="H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 customHeight="1" spans="1:29">
      <c r="A755" s="16"/>
      <c r="B755" s="16"/>
      <c r="C755" s="16"/>
      <c r="D755" s="16"/>
      <c r="E755" s="16"/>
      <c r="F755" s="16"/>
      <c r="G755" s="16"/>
      <c r="H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 customHeight="1" spans="1:29">
      <c r="A756" s="16"/>
      <c r="B756" s="16"/>
      <c r="C756" s="16"/>
      <c r="D756" s="16"/>
      <c r="E756" s="16"/>
      <c r="F756" s="16"/>
      <c r="G756" s="16"/>
      <c r="H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 customHeight="1" spans="1:29">
      <c r="A757" s="16"/>
      <c r="B757" s="16"/>
      <c r="C757" s="16"/>
      <c r="D757" s="16"/>
      <c r="E757" s="16"/>
      <c r="F757" s="16"/>
      <c r="G757" s="16"/>
      <c r="H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 customHeight="1" spans="1:29">
      <c r="A758" s="16"/>
      <c r="B758" s="16"/>
      <c r="C758" s="16"/>
      <c r="D758" s="16"/>
      <c r="E758" s="16"/>
      <c r="F758" s="16"/>
      <c r="G758" s="16"/>
      <c r="H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 customHeight="1" spans="1:29">
      <c r="A759" s="16"/>
      <c r="B759" s="16"/>
      <c r="C759" s="16"/>
      <c r="D759" s="16"/>
      <c r="E759" s="16"/>
      <c r="F759" s="16"/>
      <c r="G759" s="16"/>
      <c r="H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 customHeight="1" spans="1:29">
      <c r="A760" s="16"/>
      <c r="B760" s="16"/>
      <c r="C760" s="16"/>
      <c r="D760" s="16"/>
      <c r="E760" s="16"/>
      <c r="F760" s="16"/>
      <c r="G760" s="16"/>
      <c r="H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 customHeight="1" spans="1:29">
      <c r="A761" s="16"/>
      <c r="B761" s="16"/>
      <c r="C761" s="16"/>
      <c r="D761" s="16"/>
      <c r="E761" s="16"/>
      <c r="F761" s="16"/>
      <c r="G761" s="16"/>
      <c r="H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 customHeight="1" spans="1:29">
      <c r="A762" s="16"/>
      <c r="B762" s="16"/>
      <c r="C762" s="16"/>
      <c r="D762" s="16"/>
      <c r="E762" s="16"/>
      <c r="F762" s="16"/>
      <c r="G762" s="16"/>
      <c r="H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 customHeight="1" spans="1:29">
      <c r="A763" s="16"/>
      <c r="B763" s="16"/>
      <c r="C763" s="16"/>
      <c r="D763" s="16"/>
      <c r="E763" s="16"/>
      <c r="F763" s="16"/>
      <c r="G763" s="16"/>
      <c r="H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 customHeight="1" spans="1:29">
      <c r="A764" s="16"/>
      <c r="B764" s="16"/>
      <c r="C764" s="16"/>
      <c r="D764" s="16"/>
      <c r="E764" s="16"/>
      <c r="F764" s="16"/>
      <c r="G764" s="16"/>
      <c r="H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 customHeight="1" spans="1:29">
      <c r="A765" s="16"/>
      <c r="B765" s="16"/>
      <c r="C765" s="16"/>
      <c r="D765" s="16"/>
      <c r="E765" s="16"/>
      <c r="F765" s="16"/>
      <c r="G765" s="16"/>
      <c r="H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 customHeight="1" spans="1:29">
      <c r="A766" s="16"/>
      <c r="B766" s="16"/>
      <c r="C766" s="16"/>
      <c r="D766" s="16"/>
      <c r="E766" s="16"/>
      <c r="F766" s="16"/>
      <c r="G766" s="16"/>
      <c r="H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 customHeight="1" spans="1:29">
      <c r="A767" s="16"/>
      <c r="B767" s="16"/>
      <c r="C767" s="16"/>
      <c r="D767" s="16"/>
      <c r="E767" s="16"/>
      <c r="F767" s="16"/>
      <c r="G767" s="16"/>
      <c r="H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 customHeight="1" spans="1:29">
      <c r="A768" s="16"/>
      <c r="B768" s="16"/>
      <c r="C768" s="16"/>
      <c r="D768" s="16"/>
      <c r="E768" s="16"/>
      <c r="F768" s="16"/>
      <c r="G768" s="16"/>
      <c r="H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 customHeight="1" spans="1:29">
      <c r="A769" s="16"/>
      <c r="B769" s="16"/>
      <c r="C769" s="16"/>
      <c r="D769" s="16"/>
      <c r="E769" s="16"/>
      <c r="F769" s="16"/>
      <c r="G769" s="16"/>
      <c r="H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 customHeight="1" spans="1:29">
      <c r="A770" s="16"/>
      <c r="B770" s="16"/>
      <c r="C770" s="16"/>
      <c r="D770" s="16"/>
      <c r="E770" s="16"/>
      <c r="F770" s="16"/>
      <c r="G770" s="16"/>
      <c r="H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 customHeight="1" spans="1:29">
      <c r="A771" s="16"/>
      <c r="B771" s="16"/>
      <c r="C771" s="16"/>
      <c r="D771" s="16"/>
      <c r="E771" s="16"/>
      <c r="F771" s="16"/>
      <c r="G771" s="16"/>
      <c r="H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 customHeight="1" spans="1:29">
      <c r="A772" s="16"/>
      <c r="B772" s="16"/>
      <c r="C772" s="16"/>
      <c r="D772" s="16"/>
      <c r="E772" s="16"/>
      <c r="F772" s="16"/>
      <c r="G772" s="16"/>
      <c r="H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 customHeight="1" spans="1:29">
      <c r="A773" s="16"/>
      <c r="B773" s="16"/>
      <c r="C773" s="16"/>
      <c r="D773" s="16"/>
      <c r="E773" s="16"/>
      <c r="F773" s="16"/>
      <c r="G773" s="16"/>
      <c r="H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 customHeight="1" spans="1:29">
      <c r="A774" s="16"/>
      <c r="B774" s="16"/>
      <c r="C774" s="16"/>
      <c r="D774" s="16"/>
      <c r="E774" s="16"/>
      <c r="F774" s="16"/>
      <c r="G774" s="16"/>
      <c r="H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 customHeight="1" spans="1:29">
      <c r="A775" s="16"/>
      <c r="B775" s="16"/>
      <c r="C775" s="16"/>
      <c r="D775" s="16"/>
      <c r="E775" s="16"/>
      <c r="F775" s="16"/>
      <c r="G775" s="16"/>
      <c r="H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 customHeight="1" spans="1:29">
      <c r="A776" s="16"/>
      <c r="B776" s="16"/>
      <c r="C776" s="16"/>
      <c r="D776" s="16"/>
      <c r="E776" s="16"/>
      <c r="F776" s="16"/>
      <c r="G776" s="16"/>
      <c r="H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 customHeight="1" spans="1:29">
      <c r="A777" s="16"/>
      <c r="B777" s="16"/>
      <c r="C777" s="16"/>
      <c r="D777" s="16"/>
      <c r="E777" s="16"/>
      <c r="F777" s="16"/>
      <c r="G777" s="16"/>
      <c r="H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 customHeight="1" spans="1:29">
      <c r="A778" s="16"/>
      <c r="B778" s="16"/>
      <c r="C778" s="16"/>
      <c r="D778" s="16"/>
      <c r="E778" s="16"/>
      <c r="F778" s="16"/>
      <c r="G778" s="16"/>
      <c r="H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 customHeight="1" spans="1:29">
      <c r="A779" s="16"/>
      <c r="B779" s="16"/>
      <c r="C779" s="16"/>
      <c r="D779" s="16"/>
      <c r="E779" s="16"/>
      <c r="F779" s="16"/>
      <c r="G779" s="16"/>
      <c r="H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 customHeight="1" spans="1:29">
      <c r="A780" s="16"/>
      <c r="B780" s="16"/>
      <c r="C780" s="16"/>
      <c r="D780" s="16"/>
      <c r="E780" s="16"/>
      <c r="F780" s="16"/>
      <c r="G780" s="16"/>
      <c r="H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 customHeight="1" spans="1:29">
      <c r="A781" s="16"/>
      <c r="B781" s="16"/>
      <c r="C781" s="16"/>
      <c r="D781" s="16"/>
      <c r="E781" s="16"/>
      <c r="F781" s="16"/>
      <c r="G781" s="16"/>
      <c r="H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 customHeight="1" spans="1:29">
      <c r="A782" s="16"/>
      <c r="B782" s="16"/>
      <c r="C782" s="16"/>
      <c r="D782" s="16"/>
      <c r="E782" s="16"/>
      <c r="F782" s="16"/>
      <c r="G782" s="16"/>
      <c r="H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 customHeight="1" spans="1:29">
      <c r="A783" s="16"/>
      <c r="B783" s="16"/>
      <c r="C783" s="16"/>
      <c r="D783" s="16"/>
      <c r="E783" s="16"/>
      <c r="F783" s="16"/>
      <c r="G783" s="16"/>
      <c r="H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 customHeight="1" spans="1:29">
      <c r="A784" s="16"/>
      <c r="B784" s="16"/>
      <c r="C784" s="16"/>
      <c r="D784" s="16"/>
      <c r="E784" s="16"/>
      <c r="F784" s="16"/>
      <c r="G784" s="16"/>
      <c r="H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 customHeight="1" spans="1:29">
      <c r="A785" s="16"/>
      <c r="B785" s="16"/>
      <c r="C785" s="16"/>
      <c r="D785" s="16"/>
      <c r="E785" s="16"/>
      <c r="F785" s="16"/>
      <c r="G785" s="16"/>
      <c r="H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 customHeight="1" spans="1:29">
      <c r="A786" s="16"/>
      <c r="B786" s="16"/>
      <c r="C786" s="16"/>
      <c r="D786" s="16"/>
      <c r="E786" s="16"/>
      <c r="F786" s="16"/>
      <c r="G786" s="16"/>
      <c r="H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 customHeight="1" spans="1:29">
      <c r="A787" s="16"/>
      <c r="B787" s="16"/>
      <c r="C787" s="16"/>
      <c r="D787" s="16"/>
      <c r="E787" s="16"/>
      <c r="F787" s="16"/>
      <c r="G787" s="16"/>
      <c r="H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 customHeight="1" spans="1:29">
      <c r="A788" s="16"/>
      <c r="B788" s="16"/>
      <c r="C788" s="16"/>
      <c r="D788" s="16"/>
      <c r="E788" s="16"/>
      <c r="F788" s="16"/>
      <c r="G788" s="16"/>
      <c r="H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 customHeight="1" spans="1:29">
      <c r="A789" s="16"/>
      <c r="B789" s="16"/>
      <c r="C789" s="16"/>
      <c r="D789" s="16"/>
      <c r="E789" s="16"/>
      <c r="F789" s="16"/>
      <c r="G789" s="16"/>
      <c r="H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 customHeight="1" spans="1:29">
      <c r="A790" s="16"/>
      <c r="B790" s="16"/>
      <c r="C790" s="16"/>
      <c r="D790" s="16"/>
      <c r="E790" s="16"/>
      <c r="F790" s="16"/>
      <c r="G790" s="16"/>
      <c r="H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 customHeight="1" spans="1:29">
      <c r="A791" s="16"/>
      <c r="B791" s="16"/>
      <c r="C791" s="16"/>
      <c r="D791" s="16"/>
      <c r="E791" s="16"/>
      <c r="F791" s="16"/>
      <c r="G791" s="16"/>
      <c r="H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 customHeight="1" spans="1:29">
      <c r="A792" s="16"/>
      <c r="B792" s="16"/>
      <c r="C792" s="16"/>
      <c r="D792" s="16"/>
      <c r="E792" s="16"/>
      <c r="F792" s="16"/>
      <c r="G792" s="16"/>
      <c r="H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 customHeight="1" spans="1:29">
      <c r="A793" s="16"/>
      <c r="B793" s="16"/>
      <c r="C793" s="16"/>
      <c r="D793" s="16"/>
      <c r="E793" s="16"/>
      <c r="F793" s="16"/>
      <c r="G793" s="16"/>
      <c r="H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 customHeight="1" spans="1:29">
      <c r="A794" s="16"/>
      <c r="B794" s="16"/>
      <c r="C794" s="16"/>
      <c r="D794" s="16"/>
      <c r="E794" s="16"/>
      <c r="F794" s="16"/>
      <c r="G794" s="16"/>
      <c r="H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 customHeight="1" spans="1:29">
      <c r="A795" s="16"/>
      <c r="B795" s="16"/>
      <c r="C795" s="16"/>
      <c r="D795" s="16"/>
      <c r="E795" s="16"/>
      <c r="F795" s="16"/>
      <c r="G795" s="16"/>
      <c r="H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 customHeight="1" spans="1:29">
      <c r="A796" s="16"/>
      <c r="B796" s="16"/>
      <c r="C796" s="16"/>
      <c r="D796" s="16"/>
      <c r="E796" s="16"/>
      <c r="F796" s="16"/>
      <c r="G796" s="16"/>
      <c r="H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 customHeight="1" spans="1:29">
      <c r="A797" s="16"/>
      <c r="B797" s="16"/>
      <c r="C797" s="16"/>
      <c r="D797" s="16"/>
      <c r="E797" s="16"/>
      <c r="F797" s="16"/>
      <c r="G797" s="16"/>
      <c r="H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 customHeight="1" spans="1:29">
      <c r="A798" s="16"/>
      <c r="B798" s="16"/>
      <c r="C798" s="16"/>
      <c r="D798" s="16"/>
      <c r="E798" s="16"/>
      <c r="F798" s="16"/>
      <c r="G798" s="16"/>
      <c r="H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 customHeight="1" spans="1:29">
      <c r="A799" s="16"/>
      <c r="B799" s="16"/>
      <c r="C799" s="16"/>
      <c r="D799" s="16"/>
      <c r="E799" s="16"/>
      <c r="F799" s="16"/>
      <c r="G799" s="16"/>
      <c r="H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 customHeight="1" spans="1:29">
      <c r="A800" s="16"/>
      <c r="B800" s="16"/>
      <c r="C800" s="16"/>
      <c r="D800" s="16"/>
      <c r="E800" s="16"/>
      <c r="F800" s="16"/>
      <c r="G800" s="16"/>
      <c r="H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 customHeight="1" spans="1:29">
      <c r="A801" s="16"/>
      <c r="B801" s="16"/>
      <c r="C801" s="16"/>
      <c r="D801" s="16"/>
      <c r="E801" s="16"/>
      <c r="F801" s="16"/>
      <c r="G801" s="16"/>
      <c r="H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 customHeight="1" spans="1:29">
      <c r="A802" s="16"/>
      <c r="B802" s="16"/>
      <c r="C802" s="16"/>
      <c r="D802" s="16"/>
      <c r="E802" s="16"/>
      <c r="F802" s="16"/>
      <c r="G802" s="16"/>
      <c r="H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 customHeight="1" spans="1:29">
      <c r="A803" s="16"/>
      <c r="B803" s="16"/>
      <c r="C803" s="16"/>
      <c r="D803" s="16"/>
      <c r="E803" s="16"/>
      <c r="F803" s="16"/>
      <c r="G803" s="16"/>
      <c r="H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 customHeight="1" spans="1:29">
      <c r="A804" s="16"/>
      <c r="B804" s="16"/>
      <c r="C804" s="16"/>
      <c r="D804" s="16"/>
      <c r="E804" s="16"/>
      <c r="F804" s="16"/>
      <c r="G804" s="16"/>
      <c r="H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 customHeight="1" spans="1:29">
      <c r="A805" s="16"/>
      <c r="B805" s="16"/>
      <c r="C805" s="16"/>
      <c r="D805" s="16"/>
      <c r="E805" s="16"/>
      <c r="F805" s="16"/>
      <c r="G805" s="16"/>
      <c r="H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 customHeight="1" spans="1:29">
      <c r="A806" s="16"/>
      <c r="B806" s="16"/>
      <c r="C806" s="16"/>
      <c r="D806" s="16"/>
      <c r="E806" s="16"/>
      <c r="F806" s="16"/>
      <c r="G806" s="16"/>
      <c r="H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 customHeight="1" spans="1:29">
      <c r="A807" s="16"/>
      <c r="B807" s="16"/>
      <c r="C807" s="16"/>
      <c r="D807" s="16"/>
      <c r="E807" s="16"/>
      <c r="F807" s="16"/>
      <c r="G807" s="16"/>
      <c r="H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 customHeight="1" spans="1:29">
      <c r="A808" s="16"/>
      <c r="B808" s="16"/>
      <c r="C808" s="16"/>
      <c r="D808" s="16"/>
      <c r="E808" s="16"/>
      <c r="F808" s="16"/>
      <c r="G808" s="16"/>
      <c r="H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 customHeight="1" spans="1:29">
      <c r="A809" s="16"/>
      <c r="B809" s="16"/>
      <c r="C809" s="16"/>
      <c r="D809" s="16"/>
      <c r="E809" s="16"/>
      <c r="F809" s="16"/>
      <c r="G809" s="16"/>
      <c r="H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 customHeight="1" spans="1:29">
      <c r="A810" s="16"/>
      <c r="B810" s="16"/>
      <c r="C810" s="16"/>
      <c r="D810" s="16"/>
      <c r="E810" s="16"/>
      <c r="F810" s="16"/>
      <c r="G810" s="16"/>
      <c r="H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 customHeight="1" spans="1:29">
      <c r="A811" s="16"/>
      <c r="B811" s="16"/>
      <c r="C811" s="16"/>
      <c r="D811" s="16"/>
      <c r="E811" s="16"/>
      <c r="F811" s="16"/>
      <c r="G811" s="16"/>
      <c r="H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 customHeight="1" spans="1:29">
      <c r="A812" s="16"/>
      <c r="B812" s="16"/>
      <c r="C812" s="16"/>
      <c r="D812" s="16"/>
      <c r="E812" s="16"/>
      <c r="F812" s="16"/>
      <c r="G812" s="16"/>
      <c r="H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 customHeight="1" spans="1:29">
      <c r="A813" s="16"/>
      <c r="B813" s="16"/>
      <c r="C813" s="16"/>
      <c r="D813" s="16"/>
      <c r="E813" s="16"/>
      <c r="F813" s="16"/>
      <c r="G813" s="16"/>
      <c r="H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 customHeight="1" spans="1:29">
      <c r="A814" s="16"/>
      <c r="B814" s="16"/>
      <c r="C814" s="16"/>
      <c r="D814" s="16"/>
      <c r="E814" s="16"/>
      <c r="F814" s="16"/>
      <c r="G814" s="16"/>
      <c r="H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 customHeight="1" spans="1:29">
      <c r="A815" s="16"/>
      <c r="B815" s="16"/>
      <c r="C815" s="16"/>
      <c r="D815" s="16"/>
      <c r="E815" s="16"/>
      <c r="F815" s="16"/>
      <c r="G815" s="16"/>
      <c r="H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 customHeight="1" spans="1:29">
      <c r="A816" s="16"/>
      <c r="B816" s="16"/>
      <c r="C816" s="16"/>
      <c r="D816" s="16"/>
      <c r="E816" s="16"/>
      <c r="F816" s="16"/>
      <c r="G816" s="16"/>
      <c r="H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 customHeight="1" spans="1:29">
      <c r="A817" s="16"/>
      <c r="B817" s="16"/>
      <c r="C817" s="16"/>
      <c r="D817" s="16"/>
      <c r="E817" s="16"/>
      <c r="F817" s="16"/>
      <c r="G817" s="16"/>
      <c r="H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 customHeight="1" spans="1:29">
      <c r="A818" s="16"/>
      <c r="B818" s="16"/>
      <c r="C818" s="16"/>
      <c r="D818" s="16"/>
      <c r="E818" s="16"/>
      <c r="F818" s="16"/>
      <c r="G818" s="16"/>
      <c r="H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 customHeight="1" spans="1:29">
      <c r="A819" s="16"/>
      <c r="B819" s="16"/>
      <c r="C819" s="16"/>
      <c r="D819" s="16"/>
      <c r="E819" s="16"/>
      <c r="F819" s="16"/>
      <c r="G819" s="16"/>
      <c r="H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 customHeight="1" spans="1:29">
      <c r="A820" s="16"/>
      <c r="B820" s="16"/>
      <c r="C820" s="16"/>
      <c r="D820" s="16"/>
      <c r="E820" s="16"/>
      <c r="F820" s="16"/>
      <c r="G820" s="16"/>
      <c r="H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 customHeight="1" spans="1:29">
      <c r="A821" s="16"/>
      <c r="B821" s="16"/>
      <c r="C821" s="16"/>
      <c r="D821" s="16"/>
      <c r="E821" s="16"/>
      <c r="F821" s="16"/>
      <c r="G821" s="16"/>
      <c r="H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 customHeight="1" spans="1:29">
      <c r="A822" s="16"/>
      <c r="B822" s="16"/>
      <c r="C822" s="16"/>
      <c r="D822" s="16"/>
      <c r="E822" s="16"/>
      <c r="F822" s="16"/>
      <c r="G822" s="16"/>
      <c r="H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 customHeight="1" spans="1:29">
      <c r="A823" s="16"/>
      <c r="B823" s="16"/>
      <c r="C823" s="16"/>
      <c r="D823" s="16"/>
      <c r="E823" s="16"/>
      <c r="F823" s="16"/>
      <c r="G823" s="16"/>
      <c r="H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 customHeight="1" spans="1:29">
      <c r="A824" s="16"/>
      <c r="B824" s="16"/>
      <c r="C824" s="16"/>
      <c r="D824" s="16"/>
      <c r="E824" s="16"/>
      <c r="F824" s="16"/>
      <c r="G824" s="16"/>
      <c r="H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 customHeight="1" spans="1:29">
      <c r="A825" s="16"/>
      <c r="B825" s="16"/>
      <c r="C825" s="16"/>
      <c r="D825" s="16"/>
      <c r="E825" s="16"/>
      <c r="F825" s="16"/>
      <c r="G825" s="16"/>
      <c r="H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 customHeight="1" spans="1:29">
      <c r="A826" s="16"/>
      <c r="B826" s="16"/>
      <c r="C826" s="16"/>
      <c r="D826" s="16"/>
      <c r="E826" s="16"/>
      <c r="F826" s="16"/>
      <c r="G826" s="16"/>
      <c r="H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 customHeight="1" spans="1:29">
      <c r="A827" s="16"/>
      <c r="B827" s="16"/>
      <c r="C827" s="16"/>
      <c r="D827" s="16"/>
      <c r="E827" s="16"/>
      <c r="F827" s="16"/>
      <c r="G827" s="16"/>
      <c r="H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 customHeight="1" spans="1:29">
      <c r="A828" s="16"/>
      <c r="B828" s="16"/>
      <c r="C828" s="16"/>
      <c r="D828" s="16"/>
      <c r="E828" s="16"/>
      <c r="F828" s="16"/>
      <c r="G828" s="16"/>
      <c r="H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 customHeight="1" spans="1:29">
      <c r="A829" s="16"/>
      <c r="B829" s="16"/>
      <c r="C829" s="16"/>
      <c r="D829" s="16"/>
      <c r="E829" s="16"/>
      <c r="F829" s="16"/>
      <c r="G829" s="16"/>
      <c r="H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 customHeight="1" spans="1:29">
      <c r="A830" s="16"/>
      <c r="B830" s="16"/>
      <c r="C830" s="16"/>
      <c r="D830" s="16"/>
      <c r="E830" s="16"/>
      <c r="F830" s="16"/>
      <c r="G830" s="16"/>
      <c r="H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 customHeight="1" spans="1:29">
      <c r="A831" s="16"/>
      <c r="B831" s="16"/>
      <c r="C831" s="16"/>
      <c r="D831" s="16"/>
      <c r="E831" s="16"/>
      <c r="F831" s="16"/>
      <c r="G831" s="16"/>
      <c r="H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 customHeight="1" spans="1:29">
      <c r="A832" s="16"/>
      <c r="B832" s="16"/>
      <c r="C832" s="16"/>
      <c r="D832" s="16"/>
      <c r="E832" s="16"/>
      <c r="F832" s="16"/>
      <c r="G832" s="16"/>
      <c r="H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 customHeight="1" spans="1:29">
      <c r="A833" s="16"/>
      <c r="B833" s="16"/>
      <c r="C833" s="16"/>
      <c r="D833" s="16"/>
      <c r="E833" s="16"/>
      <c r="F833" s="16"/>
      <c r="G833" s="16"/>
      <c r="H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 customHeight="1" spans="1:29">
      <c r="A834" s="16"/>
      <c r="B834" s="16"/>
      <c r="C834" s="16"/>
      <c r="D834" s="16"/>
      <c r="E834" s="16"/>
      <c r="F834" s="16"/>
      <c r="G834" s="16"/>
      <c r="H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 customHeight="1" spans="1:29">
      <c r="A835" s="16"/>
      <c r="B835" s="16"/>
      <c r="C835" s="16"/>
      <c r="D835" s="16"/>
      <c r="E835" s="16"/>
      <c r="F835" s="16"/>
      <c r="G835" s="16"/>
      <c r="H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 customHeight="1" spans="1:29">
      <c r="A836" s="16"/>
      <c r="B836" s="16"/>
      <c r="C836" s="16"/>
      <c r="D836" s="16"/>
      <c r="E836" s="16"/>
      <c r="F836" s="16"/>
      <c r="G836" s="16"/>
      <c r="H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 customHeight="1" spans="1:29">
      <c r="A837" s="16"/>
      <c r="B837" s="16"/>
      <c r="C837" s="16"/>
      <c r="D837" s="16"/>
      <c r="E837" s="16"/>
      <c r="F837" s="16"/>
      <c r="G837" s="16"/>
      <c r="H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 customHeight="1" spans="1:29">
      <c r="A838" s="16"/>
      <c r="B838" s="16"/>
      <c r="C838" s="16"/>
      <c r="D838" s="16"/>
      <c r="E838" s="16"/>
      <c r="F838" s="16"/>
      <c r="G838" s="16"/>
      <c r="H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 customHeight="1" spans="1:29">
      <c r="A839" s="16"/>
      <c r="B839" s="16"/>
      <c r="C839" s="16"/>
      <c r="D839" s="16"/>
      <c r="E839" s="16"/>
      <c r="F839" s="16"/>
      <c r="G839" s="16"/>
      <c r="H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 customHeight="1" spans="1:29">
      <c r="A840" s="16"/>
      <c r="B840" s="16"/>
      <c r="C840" s="16"/>
      <c r="D840" s="16"/>
      <c r="E840" s="16"/>
      <c r="F840" s="16"/>
      <c r="G840" s="16"/>
      <c r="H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 customHeight="1" spans="1:29">
      <c r="A841" s="16"/>
      <c r="B841" s="16"/>
      <c r="C841" s="16"/>
      <c r="D841" s="16"/>
      <c r="E841" s="16"/>
      <c r="F841" s="16"/>
      <c r="G841" s="16"/>
      <c r="H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 customHeight="1" spans="1:29">
      <c r="A842" s="16"/>
      <c r="B842" s="16"/>
      <c r="C842" s="16"/>
      <c r="D842" s="16"/>
      <c r="E842" s="16"/>
      <c r="F842" s="16"/>
      <c r="G842" s="16"/>
      <c r="H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 customHeight="1" spans="1:29">
      <c r="A843" s="16"/>
      <c r="B843" s="16"/>
      <c r="C843" s="16"/>
      <c r="D843" s="16"/>
      <c r="E843" s="16"/>
      <c r="F843" s="16"/>
      <c r="G843" s="16"/>
      <c r="H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 customHeight="1" spans="1:29">
      <c r="A844" s="16"/>
      <c r="B844" s="16"/>
      <c r="C844" s="16"/>
      <c r="D844" s="16"/>
      <c r="E844" s="16"/>
      <c r="F844" s="16"/>
      <c r="G844" s="16"/>
      <c r="H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 customHeight="1" spans="1:29">
      <c r="A845" s="16"/>
      <c r="B845" s="16"/>
      <c r="C845" s="16"/>
      <c r="D845" s="16"/>
      <c r="E845" s="16"/>
      <c r="F845" s="16"/>
      <c r="G845" s="16"/>
      <c r="H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 customHeight="1" spans="1:29">
      <c r="A846" s="16"/>
      <c r="B846" s="16"/>
      <c r="C846" s="16"/>
      <c r="D846" s="16"/>
      <c r="E846" s="16"/>
      <c r="F846" s="16"/>
      <c r="G846" s="16"/>
      <c r="H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 customHeight="1" spans="1:29">
      <c r="A847" s="16"/>
      <c r="B847" s="16"/>
      <c r="C847" s="16"/>
      <c r="D847" s="16"/>
      <c r="E847" s="16"/>
      <c r="F847" s="16"/>
      <c r="G847" s="16"/>
      <c r="H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 customHeight="1" spans="1:29">
      <c r="A848" s="16"/>
      <c r="B848" s="16"/>
      <c r="C848" s="16"/>
      <c r="D848" s="16"/>
      <c r="E848" s="16"/>
      <c r="F848" s="16"/>
      <c r="G848" s="16"/>
      <c r="H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 customHeight="1" spans="1:29">
      <c r="A849" s="16"/>
      <c r="B849" s="16"/>
      <c r="C849" s="16"/>
      <c r="D849" s="16"/>
      <c r="E849" s="16"/>
      <c r="F849" s="16"/>
      <c r="G849" s="16"/>
      <c r="H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 customHeight="1" spans="1:29">
      <c r="A850" s="16"/>
      <c r="B850" s="16"/>
      <c r="C850" s="16"/>
      <c r="D850" s="16"/>
      <c r="E850" s="16"/>
      <c r="F850" s="16"/>
      <c r="G850" s="16"/>
      <c r="H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 customHeight="1" spans="1:29">
      <c r="A851" s="16"/>
      <c r="B851" s="16"/>
      <c r="C851" s="16"/>
      <c r="D851" s="16"/>
      <c r="E851" s="16"/>
      <c r="F851" s="16"/>
      <c r="G851" s="16"/>
      <c r="H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 customHeight="1" spans="1:29">
      <c r="A852" s="16"/>
      <c r="B852" s="16"/>
      <c r="C852" s="16"/>
      <c r="D852" s="16"/>
      <c r="E852" s="16"/>
      <c r="F852" s="16"/>
      <c r="G852" s="16"/>
      <c r="H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 customHeight="1" spans="1:29">
      <c r="A853" s="16"/>
      <c r="B853" s="16"/>
      <c r="C853" s="16"/>
      <c r="D853" s="16"/>
      <c r="E853" s="16"/>
      <c r="F853" s="16"/>
      <c r="G853" s="16"/>
      <c r="H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 customHeight="1" spans="1:29">
      <c r="A854" s="16"/>
      <c r="B854" s="16"/>
      <c r="C854" s="16"/>
      <c r="D854" s="16"/>
      <c r="E854" s="16"/>
      <c r="F854" s="16"/>
      <c r="G854" s="16"/>
      <c r="H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 customHeight="1" spans="1:29">
      <c r="A855" s="16"/>
      <c r="B855" s="16"/>
      <c r="C855" s="16"/>
      <c r="D855" s="16"/>
      <c r="E855" s="16"/>
      <c r="F855" s="16"/>
      <c r="G855" s="16"/>
      <c r="H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 customHeight="1" spans="1:29">
      <c r="A856" s="16"/>
      <c r="B856" s="16"/>
      <c r="C856" s="16"/>
      <c r="D856" s="16"/>
      <c r="E856" s="16"/>
      <c r="F856" s="16"/>
      <c r="G856" s="16"/>
      <c r="H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 customHeight="1" spans="1:29">
      <c r="A857" s="16"/>
      <c r="B857" s="16"/>
      <c r="C857" s="16"/>
      <c r="D857" s="16"/>
      <c r="E857" s="16"/>
      <c r="F857" s="16"/>
      <c r="G857" s="16"/>
      <c r="H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 customHeight="1" spans="1:29">
      <c r="A858" s="16"/>
      <c r="B858" s="16"/>
      <c r="C858" s="16"/>
      <c r="D858" s="16"/>
      <c r="E858" s="16"/>
      <c r="F858" s="16"/>
      <c r="G858" s="16"/>
      <c r="H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 customHeight="1" spans="1:29">
      <c r="A859" s="16"/>
      <c r="B859" s="16"/>
      <c r="C859" s="16"/>
      <c r="D859" s="16"/>
      <c r="E859" s="16"/>
      <c r="F859" s="16"/>
      <c r="G859" s="16"/>
      <c r="H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 customHeight="1" spans="1:29">
      <c r="A860" s="16"/>
      <c r="B860" s="16"/>
      <c r="C860" s="16"/>
      <c r="D860" s="16"/>
      <c r="E860" s="16"/>
      <c r="F860" s="16"/>
      <c r="G860" s="16"/>
      <c r="H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 customHeight="1" spans="1:29">
      <c r="A861" s="16"/>
      <c r="B861" s="16"/>
      <c r="C861" s="16"/>
      <c r="D861" s="16"/>
      <c r="E861" s="16"/>
      <c r="F861" s="16"/>
      <c r="G861" s="16"/>
      <c r="H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 customHeight="1" spans="1:29">
      <c r="A862" s="16"/>
      <c r="B862" s="16"/>
      <c r="C862" s="16"/>
      <c r="D862" s="16"/>
      <c r="E862" s="16"/>
      <c r="F862" s="16"/>
      <c r="G862" s="16"/>
      <c r="H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 customHeight="1" spans="1:29">
      <c r="A863" s="16"/>
      <c r="B863" s="16"/>
      <c r="C863" s="16"/>
      <c r="D863" s="16"/>
      <c r="E863" s="16"/>
      <c r="F863" s="16"/>
      <c r="G863" s="16"/>
      <c r="H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 customHeight="1" spans="1:29">
      <c r="A864" s="16"/>
      <c r="B864" s="16"/>
      <c r="C864" s="16"/>
      <c r="D864" s="16"/>
      <c r="E864" s="16"/>
      <c r="F864" s="16"/>
      <c r="G864" s="16"/>
      <c r="H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 customHeight="1" spans="1:29">
      <c r="A865" s="16"/>
      <c r="B865" s="16"/>
      <c r="C865" s="16"/>
      <c r="D865" s="16"/>
      <c r="E865" s="16"/>
      <c r="F865" s="16"/>
      <c r="G865" s="16"/>
      <c r="H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 customHeight="1" spans="1:29">
      <c r="A866" s="16"/>
      <c r="B866" s="16"/>
      <c r="C866" s="16"/>
      <c r="D866" s="16"/>
      <c r="E866" s="16"/>
      <c r="F866" s="16"/>
      <c r="G866" s="16"/>
      <c r="H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 customHeight="1" spans="1:29">
      <c r="A867" s="16"/>
      <c r="B867" s="16"/>
      <c r="C867" s="16"/>
      <c r="D867" s="16"/>
      <c r="E867" s="16"/>
      <c r="F867" s="16"/>
      <c r="G867" s="16"/>
      <c r="H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 customHeight="1" spans="1:29">
      <c r="A868" s="16"/>
      <c r="B868" s="16"/>
      <c r="C868" s="16"/>
      <c r="D868" s="16"/>
      <c r="E868" s="16"/>
      <c r="F868" s="16"/>
      <c r="G868" s="16"/>
      <c r="H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 customHeight="1" spans="1:29">
      <c r="A869" s="16"/>
      <c r="B869" s="16"/>
      <c r="C869" s="16"/>
      <c r="D869" s="16"/>
      <c r="E869" s="16"/>
      <c r="F869" s="16"/>
      <c r="G869" s="16"/>
      <c r="H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 customHeight="1" spans="1:29">
      <c r="A870" s="16"/>
      <c r="B870" s="16"/>
      <c r="C870" s="16"/>
      <c r="D870" s="16"/>
      <c r="E870" s="16"/>
      <c r="F870" s="16"/>
      <c r="G870" s="16"/>
      <c r="H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 customHeight="1" spans="1:29">
      <c r="A871" s="16"/>
      <c r="B871" s="16"/>
      <c r="C871" s="16"/>
      <c r="D871" s="16"/>
      <c r="E871" s="16"/>
      <c r="F871" s="16"/>
      <c r="G871" s="16"/>
      <c r="H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 customHeight="1" spans="1:29">
      <c r="A872" s="16"/>
      <c r="B872" s="16"/>
      <c r="C872" s="16"/>
      <c r="D872" s="16"/>
      <c r="E872" s="16"/>
      <c r="F872" s="16"/>
      <c r="G872" s="16"/>
      <c r="H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 customHeight="1" spans="1:29">
      <c r="A873" s="16"/>
      <c r="B873" s="16"/>
      <c r="C873" s="16"/>
      <c r="D873" s="16"/>
      <c r="E873" s="16"/>
      <c r="F873" s="16"/>
      <c r="G873" s="16"/>
      <c r="H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 customHeight="1" spans="1:29">
      <c r="A874" s="16"/>
      <c r="B874" s="16"/>
      <c r="C874" s="16"/>
      <c r="D874" s="16"/>
      <c r="E874" s="16"/>
      <c r="F874" s="16"/>
      <c r="G874" s="16"/>
      <c r="H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 customHeight="1" spans="1:29">
      <c r="A875" s="16"/>
      <c r="B875" s="16"/>
      <c r="C875" s="16"/>
      <c r="D875" s="16"/>
      <c r="E875" s="16"/>
      <c r="F875" s="16"/>
      <c r="G875" s="16"/>
      <c r="H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 customHeight="1" spans="1:29">
      <c r="A876" s="16"/>
      <c r="B876" s="16"/>
      <c r="C876" s="16"/>
      <c r="D876" s="16"/>
      <c r="E876" s="16"/>
      <c r="F876" s="16"/>
      <c r="G876" s="16"/>
      <c r="H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 customHeight="1" spans="1:29">
      <c r="A877" s="16"/>
      <c r="B877" s="16"/>
      <c r="C877" s="16"/>
      <c r="D877" s="16"/>
      <c r="E877" s="16"/>
      <c r="F877" s="16"/>
      <c r="G877" s="16"/>
      <c r="H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 customHeight="1" spans="1:29">
      <c r="A878" s="16"/>
      <c r="B878" s="16"/>
      <c r="C878" s="16"/>
      <c r="D878" s="16"/>
      <c r="E878" s="16"/>
      <c r="F878" s="16"/>
      <c r="G878" s="16"/>
      <c r="H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 customHeight="1" spans="1:29">
      <c r="A879" s="16"/>
      <c r="B879" s="16"/>
      <c r="C879" s="16"/>
      <c r="D879" s="16"/>
      <c r="E879" s="16"/>
      <c r="F879" s="16"/>
      <c r="G879" s="16"/>
      <c r="H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 customHeight="1" spans="1:29">
      <c r="A880" s="16"/>
      <c r="B880" s="16"/>
      <c r="C880" s="16"/>
      <c r="D880" s="16"/>
      <c r="E880" s="16"/>
      <c r="F880" s="16"/>
      <c r="G880" s="16"/>
      <c r="H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 customHeight="1" spans="1:29">
      <c r="A881" s="16"/>
      <c r="B881" s="16"/>
      <c r="C881" s="16"/>
      <c r="D881" s="16"/>
      <c r="E881" s="16"/>
      <c r="F881" s="16"/>
      <c r="G881" s="16"/>
      <c r="H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 customHeight="1" spans="1:29">
      <c r="A882" s="16"/>
      <c r="B882" s="16"/>
      <c r="C882" s="16"/>
      <c r="D882" s="16"/>
      <c r="E882" s="16"/>
      <c r="F882" s="16"/>
      <c r="G882" s="16"/>
      <c r="H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 customHeight="1" spans="1:29">
      <c r="A883" s="16"/>
      <c r="B883" s="16"/>
      <c r="C883" s="16"/>
      <c r="D883" s="16"/>
      <c r="E883" s="16"/>
      <c r="F883" s="16"/>
      <c r="G883" s="16"/>
      <c r="H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 customHeight="1" spans="1:29">
      <c r="A884" s="16"/>
      <c r="B884" s="16"/>
      <c r="C884" s="16"/>
      <c r="D884" s="16"/>
      <c r="E884" s="16"/>
      <c r="F884" s="16"/>
      <c r="G884" s="16"/>
      <c r="H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 customHeight="1" spans="1:29">
      <c r="A885" s="16"/>
      <c r="B885" s="16"/>
      <c r="C885" s="16"/>
      <c r="D885" s="16"/>
      <c r="E885" s="16"/>
      <c r="F885" s="16"/>
      <c r="G885" s="16"/>
      <c r="H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 customHeight="1" spans="1:29">
      <c r="A886" s="16"/>
      <c r="B886" s="16"/>
      <c r="C886" s="16"/>
      <c r="D886" s="16"/>
      <c r="E886" s="16"/>
      <c r="F886" s="16"/>
      <c r="G886" s="16"/>
      <c r="H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 customHeight="1" spans="1:29">
      <c r="A887" s="16"/>
      <c r="B887" s="16"/>
      <c r="C887" s="16"/>
      <c r="D887" s="16"/>
      <c r="E887" s="16"/>
      <c r="F887" s="16"/>
      <c r="G887" s="16"/>
      <c r="H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 customHeight="1" spans="1:29">
      <c r="A888" s="16"/>
      <c r="B888" s="16"/>
      <c r="C888" s="16"/>
      <c r="D888" s="16"/>
      <c r="E888" s="16"/>
      <c r="F888" s="16"/>
      <c r="G888" s="16"/>
      <c r="H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 customHeight="1" spans="1:29">
      <c r="A889" s="16"/>
      <c r="B889" s="16"/>
      <c r="C889" s="16"/>
      <c r="D889" s="16"/>
      <c r="E889" s="16"/>
      <c r="F889" s="16"/>
      <c r="G889" s="16"/>
      <c r="H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 customHeight="1" spans="1:29">
      <c r="A890" s="16"/>
      <c r="B890" s="16"/>
      <c r="C890" s="16"/>
      <c r="D890" s="16"/>
      <c r="E890" s="16"/>
      <c r="F890" s="16"/>
      <c r="G890" s="16"/>
      <c r="H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 customHeight="1" spans="1:29">
      <c r="A891" s="16"/>
      <c r="B891" s="16"/>
      <c r="C891" s="16"/>
      <c r="D891" s="16"/>
      <c r="E891" s="16"/>
      <c r="F891" s="16"/>
      <c r="G891" s="16"/>
      <c r="H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 customHeight="1" spans="1:29">
      <c r="A892" s="16"/>
      <c r="B892" s="16"/>
      <c r="C892" s="16"/>
      <c r="D892" s="16"/>
      <c r="E892" s="16"/>
      <c r="F892" s="16"/>
      <c r="G892" s="16"/>
      <c r="H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 customHeight="1" spans="1:29">
      <c r="A893" s="16"/>
      <c r="B893" s="16"/>
      <c r="C893" s="16"/>
      <c r="D893" s="16"/>
      <c r="E893" s="16"/>
      <c r="F893" s="16"/>
      <c r="G893" s="16"/>
      <c r="H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 customHeight="1" spans="1:29">
      <c r="A894" s="16"/>
      <c r="B894" s="16"/>
      <c r="C894" s="16"/>
      <c r="D894" s="16"/>
      <c r="E894" s="16"/>
      <c r="F894" s="16"/>
      <c r="G894" s="16"/>
      <c r="H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 customHeight="1" spans="1:29">
      <c r="A895" s="16"/>
      <c r="B895" s="16"/>
      <c r="C895" s="16"/>
      <c r="D895" s="16"/>
      <c r="E895" s="16"/>
      <c r="F895" s="16"/>
      <c r="G895" s="16"/>
      <c r="H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 customHeight="1" spans="1:29">
      <c r="A896" s="16"/>
      <c r="B896" s="16"/>
      <c r="C896" s="16"/>
      <c r="D896" s="16"/>
      <c r="E896" s="16"/>
      <c r="F896" s="16"/>
      <c r="G896" s="16"/>
      <c r="H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 customHeight="1" spans="1:29">
      <c r="A897" s="16"/>
      <c r="B897" s="16"/>
      <c r="C897" s="16"/>
      <c r="D897" s="16"/>
      <c r="E897" s="16"/>
      <c r="F897" s="16"/>
      <c r="G897" s="16"/>
      <c r="H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 customHeight="1" spans="1:29">
      <c r="A898" s="16"/>
      <c r="B898" s="16"/>
      <c r="C898" s="16"/>
      <c r="D898" s="16"/>
      <c r="E898" s="16"/>
      <c r="F898" s="16"/>
      <c r="G898" s="16"/>
      <c r="H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 customHeight="1" spans="1:29">
      <c r="A899" s="16"/>
      <c r="B899" s="16"/>
      <c r="C899" s="16"/>
      <c r="D899" s="16"/>
      <c r="E899" s="16"/>
      <c r="F899" s="16"/>
      <c r="G899" s="16"/>
      <c r="H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 customHeight="1" spans="1:29">
      <c r="A900" s="16"/>
      <c r="B900" s="16"/>
      <c r="C900" s="16"/>
      <c r="D900" s="16"/>
      <c r="E900" s="16"/>
      <c r="F900" s="16"/>
      <c r="G900" s="16"/>
      <c r="H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 customHeight="1" spans="1:29">
      <c r="A901" s="16"/>
      <c r="B901" s="16"/>
      <c r="C901" s="16"/>
      <c r="D901" s="16"/>
      <c r="E901" s="16"/>
      <c r="F901" s="16"/>
      <c r="G901" s="16"/>
      <c r="H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 customHeight="1" spans="1:29">
      <c r="A902" s="16"/>
      <c r="B902" s="16"/>
      <c r="C902" s="16"/>
      <c r="D902" s="16"/>
      <c r="E902" s="16"/>
      <c r="F902" s="16"/>
      <c r="G902" s="16"/>
      <c r="H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 customHeight="1" spans="1:29">
      <c r="A903" s="16"/>
      <c r="B903" s="16"/>
      <c r="C903" s="16"/>
      <c r="D903" s="16"/>
      <c r="E903" s="16"/>
      <c r="F903" s="16"/>
      <c r="G903" s="16"/>
      <c r="H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 customHeight="1" spans="1:29">
      <c r="A904" s="16"/>
      <c r="B904" s="16"/>
      <c r="C904" s="16"/>
      <c r="D904" s="16"/>
      <c r="E904" s="16"/>
      <c r="F904" s="16"/>
      <c r="G904" s="16"/>
      <c r="H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 customHeight="1" spans="1:29">
      <c r="A905" s="16"/>
      <c r="B905" s="16"/>
      <c r="C905" s="16"/>
      <c r="D905" s="16"/>
      <c r="E905" s="16"/>
      <c r="F905" s="16"/>
      <c r="G905" s="16"/>
      <c r="H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 customHeight="1" spans="1:29">
      <c r="A906" s="16"/>
      <c r="B906" s="16"/>
      <c r="C906" s="16"/>
      <c r="D906" s="16"/>
      <c r="E906" s="16"/>
      <c r="F906" s="16"/>
      <c r="G906" s="16"/>
      <c r="H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 customHeight="1" spans="1:29">
      <c r="A907" s="16"/>
      <c r="B907" s="16"/>
      <c r="C907" s="16"/>
      <c r="D907" s="16"/>
      <c r="E907" s="16"/>
      <c r="F907" s="16"/>
      <c r="G907" s="16"/>
      <c r="H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 customHeight="1" spans="1:29">
      <c r="A908" s="16"/>
      <c r="B908" s="16"/>
      <c r="C908" s="16"/>
      <c r="D908" s="16"/>
      <c r="E908" s="16"/>
      <c r="F908" s="16"/>
      <c r="G908" s="16"/>
      <c r="H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 customHeight="1" spans="1:29">
      <c r="A909" s="16"/>
      <c r="B909" s="16"/>
      <c r="C909" s="16"/>
      <c r="D909" s="16"/>
      <c r="E909" s="16"/>
      <c r="F909" s="16"/>
      <c r="G909" s="16"/>
      <c r="H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 customHeight="1" spans="1:29">
      <c r="A910" s="16"/>
      <c r="B910" s="16"/>
      <c r="C910" s="16"/>
      <c r="D910" s="16"/>
      <c r="E910" s="16"/>
      <c r="F910" s="16"/>
      <c r="G910" s="16"/>
      <c r="H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 customHeight="1" spans="1:29">
      <c r="A911" s="16"/>
      <c r="B911" s="16"/>
      <c r="C911" s="16"/>
      <c r="D911" s="16"/>
      <c r="E911" s="16"/>
      <c r="F911" s="16"/>
      <c r="G911" s="16"/>
      <c r="H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 customHeight="1" spans="1:29">
      <c r="A912" s="16"/>
      <c r="B912" s="16"/>
      <c r="C912" s="16"/>
      <c r="D912" s="16"/>
      <c r="E912" s="16"/>
      <c r="F912" s="16"/>
      <c r="G912" s="16"/>
      <c r="H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 customHeight="1" spans="1:29">
      <c r="A913" s="16"/>
      <c r="B913" s="16"/>
      <c r="C913" s="16"/>
      <c r="D913" s="16"/>
      <c r="E913" s="16"/>
      <c r="F913" s="16"/>
      <c r="G913" s="16"/>
      <c r="H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 customHeight="1" spans="1:29">
      <c r="A914" s="16"/>
      <c r="B914" s="16"/>
      <c r="C914" s="16"/>
      <c r="D914" s="16"/>
      <c r="E914" s="16"/>
      <c r="F914" s="16"/>
      <c r="G914" s="16"/>
      <c r="H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 customHeight="1" spans="1:29">
      <c r="A915" s="16"/>
      <c r="B915" s="16"/>
      <c r="C915" s="16"/>
      <c r="D915" s="16"/>
      <c r="E915" s="16"/>
      <c r="F915" s="16"/>
      <c r="G915" s="16"/>
      <c r="H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ef="O2" r:id="rId1" display="https://drive.google.com/drive/u/0/folders/1zLG-YyUJVqZB5-Lznqz8LzfhkqrH2iOU"/>
    <hyperlink ref="O3" r:id="rId1" display="https://drive.google.com/drive/u/0/folders/1zLG-YyUJVqZB5-Lznqz8LzfhkqrH2iOU"/>
    <hyperlink ref="O4" r:id="rId1" display="https://drive.google.com/drive/u/0/folders/1zLG-YyUJVqZB5-Lznqz8LzfhkqrH2iOU"/>
    <hyperlink ref="O5" r:id="rId1" display="https://drive.google.com/drive/u/0/folders/1zLG-YyUJVqZB5-Lznqz8LzfhkqrH2iOU"/>
    <hyperlink ref="O6" r:id="rId1" display="https://drive.google.com/drive/u/0/folders/1zLG-YyUJVqZB5-Lznqz8LzfhkqrH2iOU"/>
    <hyperlink ref="O7" r:id="rId1" display="https://drive.google.com/drive/u/0/folders/1zLG-YyUJVqZB5-Lznqz8LzfhkqrH2iOU"/>
  </hyperlink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4:Y9"/>
  <sheetViews>
    <sheetView topLeftCell="J1" workbookViewId="0">
      <selection activeCell="B7" sqref="B7"/>
    </sheetView>
  </sheetViews>
  <sheetFormatPr defaultColWidth="14.4285714285714" defaultRowHeight="15" customHeight="1"/>
  <sheetData>
    <row r="4" customHeight="1" spans="2:14">
      <c r="B4" s="1"/>
      <c r="C4" s="2">
        <v>1</v>
      </c>
      <c r="D4" s="2">
        <v>2</v>
      </c>
      <c r="E4" s="2">
        <v>3</v>
      </c>
      <c r="F4" s="2">
        <v>4</v>
      </c>
      <c r="G4" s="2">
        <v>5</v>
      </c>
      <c r="H4" s="2">
        <v>6</v>
      </c>
      <c r="I4" s="2">
        <v>7</v>
      </c>
      <c r="J4" s="2">
        <v>8</v>
      </c>
      <c r="K4" s="2">
        <v>9</v>
      </c>
      <c r="L4" s="2">
        <v>10</v>
      </c>
      <c r="M4" s="2">
        <v>11</v>
      </c>
      <c r="N4" s="2">
        <v>12</v>
      </c>
    </row>
    <row r="5" customHeight="1" spans="2:14">
      <c r="B5" s="1"/>
      <c r="C5" s="1" t="s">
        <v>436</v>
      </c>
      <c r="D5" s="1" t="s">
        <v>437</v>
      </c>
      <c r="E5" s="1" t="s">
        <v>438</v>
      </c>
      <c r="F5" s="1" t="s">
        <v>439</v>
      </c>
      <c r="G5" s="1" t="s">
        <v>440</v>
      </c>
      <c r="H5" s="1" t="s">
        <v>441</v>
      </c>
      <c r="I5" s="1" t="s">
        <v>442</v>
      </c>
      <c r="J5" s="1" t="s">
        <v>443</v>
      </c>
      <c r="K5" s="1" t="s">
        <v>444</v>
      </c>
      <c r="L5" s="1" t="s">
        <v>445</v>
      </c>
      <c r="M5" s="1" t="s">
        <v>446</v>
      </c>
      <c r="N5" s="1" t="s">
        <v>447</v>
      </c>
    </row>
    <row r="6" customHeight="1" spans="2:14">
      <c r="B6" s="1" t="s">
        <v>448</v>
      </c>
      <c r="C6" s="3">
        <f>SUMIF('NEW BUSINES'!$Q$3:$Q$59,C4,'NEW BUSINES'!$J$3:$J$67)</f>
        <v>0</v>
      </c>
      <c r="D6" s="3">
        <f>SUMIF('NEW BUSINES'!$Q$3:$Q$59,D4,'NEW BUSINES'!$J$3:$J$67)</f>
        <v>0</v>
      </c>
      <c r="E6" s="3">
        <f>SUMIF('NEW BUSINES'!$Q$3:$Q$59,E4,'NEW BUSINES'!$J$3:$J$67)</f>
        <v>0</v>
      </c>
      <c r="F6" s="3">
        <f>SUMIF('NEW BUSINES'!$Q$3:$Q$59,F4,'NEW BUSINES'!$J$3:$J$67)</f>
        <v>0</v>
      </c>
      <c r="G6" s="3">
        <f>SUMIF('NEW BUSINES'!$Q$3:$Q$59,G4,'NEW BUSINES'!$J$3:$J$67)</f>
        <v>0</v>
      </c>
      <c r="H6" s="3">
        <f>SUMIF('NEW BUSINES'!$Q$3:$Q$59,H4,'NEW BUSINES'!$J$3:$J$67)</f>
        <v>0</v>
      </c>
      <c r="I6" s="3">
        <f>SUMIF('NEW BUSINES'!$Q$3:$Q$59,I4,'NEW BUSINES'!$J$3:$J$67)</f>
        <v>0</v>
      </c>
      <c r="J6" s="3">
        <f>SUMIF('NEW BUSINES'!$Q$3:$Q$59,J4,'NEW BUSINES'!$J$3:$J$67)</f>
        <v>0</v>
      </c>
      <c r="K6" s="3">
        <f>SUMIF('NEW BUSINES'!$Q$3:$Q$59,K4,'NEW BUSINES'!$J$3:$J$67)</f>
        <v>0</v>
      </c>
      <c r="L6" s="3">
        <f>SUMIF('NEW BUSINES'!$Q$3:$Q$59,L4,'NEW BUSINES'!$J$3:$J$67)</f>
        <v>0</v>
      </c>
      <c r="M6" s="3">
        <f>SUMIF('NEW BUSINES'!$Q$3:$Q$59,M4,'NEW BUSINES'!$J$3:$J$67)</f>
        <v>0</v>
      </c>
      <c r="N6" s="3">
        <f>SUMIF('NEW BUSINES'!$Q$3:$Q$59,N4,'NEW BUSINES'!$J$3:$J$67)</f>
        <v>0</v>
      </c>
    </row>
    <row r="7" customHeight="1" spans="2:15">
      <c r="B7" s="1" t="s">
        <v>449</v>
      </c>
      <c r="C7" s="3" t="e">
        <f>SUMIF(ENDORSMENTS!#REF!,C4,ENDORSMENTS!$M$2:$M$123)</f>
        <v>#REF!</v>
      </c>
      <c r="D7" s="3" t="e">
        <f>SUMIF(ENDORSMENTS!#REF!,D4,ENDORSMENTS!$M$2:$M$123)</f>
        <v>#REF!</v>
      </c>
      <c r="E7" s="3" t="e">
        <f>SUMIF(ENDORSMENTS!#REF!,E4,ENDORSMENTS!$M$2:$M$123)</f>
        <v>#REF!</v>
      </c>
      <c r="F7" s="3" t="e">
        <f>SUMIF(ENDORSMENTS!#REF!,F4,ENDORSMENTS!$M$2:$M$123)</f>
        <v>#REF!</v>
      </c>
      <c r="G7" s="3" t="e">
        <f>SUMIF(ENDORSMENTS!#REF!,G4,ENDORSMENTS!$M$2:$M$123)</f>
        <v>#REF!</v>
      </c>
      <c r="H7" s="3" t="e">
        <f>SUMIF(ENDORSMENTS!#REF!,H4,ENDORSMENTS!$M$2:$M$123)</f>
        <v>#REF!</v>
      </c>
      <c r="I7" s="3" t="e">
        <f>SUMIF(ENDORSMENTS!#REF!,I4,ENDORSMENTS!$M$2:$M$123)</f>
        <v>#REF!</v>
      </c>
      <c r="J7" s="3" t="e">
        <f>SUMIF(ENDORSMENTS!#REF!,J4,ENDORSMENTS!$M$2:$M$123)</f>
        <v>#REF!</v>
      </c>
      <c r="K7" s="3" t="e">
        <f>SUMIF(ENDORSMENTS!#REF!,K4,ENDORSMENTS!$M$2:$M$123)</f>
        <v>#REF!</v>
      </c>
      <c r="L7" s="3" t="e">
        <f>SUMIF(ENDORSMENTS!#REF!,L4,ENDORSMENTS!$M$2:$M$123)</f>
        <v>#REF!</v>
      </c>
      <c r="M7" s="3" t="e">
        <f>SUMIF(ENDORSMENTS!#REF!,M4,ENDORSMENTS!$M$2:$M$123)</f>
        <v>#REF!</v>
      </c>
      <c r="N7" s="3" t="e">
        <f>SUMIF(ENDORSMENTS!#REF!,N4,ENDORSMENTS!$M$2:$M$123)</f>
        <v>#REF!</v>
      </c>
      <c r="O7" s="3"/>
    </row>
    <row r="8" customHeight="1" spans="2:14">
      <c r="B8" s="1" t="s">
        <v>450</v>
      </c>
      <c r="C8" s="4">
        <f>SUMIF(ProActiv!$I$2:$I$5,C4,ProActiv!$C$2:$C$5)</f>
        <v>0</v>
      </c>
      <c r="D8" s="4">
        <f>SUMIF(ProActiv!$I$2:$I$5,D4,ProActiv!$C$2:$C$5)</f>
        <v>0</v>
      </c>
      <c r="E8" s="4">
        <f>SUMIF(ProActiv!$I$2:$I$5,E4,ProActiv!$C$2:$C$5)</f>
        <v>0</v>
      </c>
      <c r="F8" s="4">
        <f>SUMIF(ProActiv!$I$2:$I$5,F4,ProActiv!$C$2:$C$5)</f>
        <v>0</v>
      </c>
      <c r="G8" s="4">
        <f>SUMIF(ProActiv!$I$2:$I$5,G4,ProActiv!$C$2:$C$5)</f>
        <v>0</v>
      </c>
      <c r="H8" s="4">
        <f>SUMIF(ProActiv!$I$2:$I$5,H4,ProActiv!$C$2:$C$5)</f>
        <v>0</v>
      </c>
      <c r="I8" s="4">
        <f>SUMIF(ProActiv!$I$2:$I$5,I4,ProActiv!$C$2:$C$5)</f>
        <v>0</v>
      </c>
      <c r="J8" s="4">
        <f>SUMIF(ProActiv!$I$2:$I$5,J4,ProActiv!$C$2:$C$5)</f>
        <v>0</v>
      </c>
      <c r="K8" s="4">
        <f>SUMIF(ProActiv!$I$2:$I$5,K4,ProActiv!$C$2:$C$5)</f>
        <v>0</v>
      </c>
      <c r="L8" s="4">
        <f>SUMIF(ProActiv!$I$2:$I$5,L4,ProActiv!$C$2:$C$5)</f>
        <v>0</v>
      </c>
      <c r="M8" s="4">
        <f>SUMIF(ProActiv!$I$2:$I$5,M4,ProActiv!$C$2:$C$5)</f>
        <v>0</v>
      </c>
      <c r="N8" s="4">
        <f>SUMIF(ProActiv!$I$2:$I$5,N4,ProActiv!$C$2:$C$5)</f>
        <v>0</v>
      </c>
    </row>
    <row r="9" customHeight="1" spans="1:25">
      <c r="A9" s="5"/>
      <c r="B9" s="6" t="s">
        <v>451</v>
      </c>
      <c r="C9" s="7" t="e">
        <f t="shared" ref="C9:N9" si="0">SUM(C6:C8)</f>
        <v>#REF!</v>
      </c>
      <c r="D9" s="7" t="e">
        <f t="shared" si="0"/>
        <v>#REF!</v>
      </c>
      <c r="E9" s="7" t="e">
        <f t="shared" si="0"/>
        <v>#REF!</v>
      </c>
      <c r="F9" s="7" t="e">
        <f t="shared" si="0"/>
        <v>#REF!</v>
      </c>
      <c r="G9" s="7" t="e">
        <f t="shared" si="0"/>
        <v>#REF!</v>
      </c>
      <c r="H9" s="7" t="e">
        <f t="shared" si="0"/>
        <v>#REF!</v>
      </c>
      <c r="I9" s="7" t="e">
        <f t="shared" si="0"/>
        <v>#REF!</v>
      </c>
      <c r="J9" s="7" t="e">
        <f t="shared" si="0"/>
        <v>#REF!</v>
      </c>
      <c r="K9" s="7" t="e">
        <f t="shared" si="0"/>
        <v>#REF!</v>
      </c>
      <c r="L9" s="7" t="e">
        <f t="shared" si="0"/>
        <v>#REF!</v>
      </c>
      <c r="M9" s="7" t="e">
        <f t="shared" si="0"/>
        <v>#REF!</v>
      </c>
      <c r="N9" s="7" t="e">
        <f t="shared" si="0"/>
        <v>#REF!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"/>
    </sheetView>
  </sheetViews>
  <sheetFormatPr defaultColWidth="9" defaultRowHeight="15" outlineLevelRow="1"/>
  <cols>
    <col min="1" max="1" width="9.71428571428571" customWidth="1"/>
  </cols>
  <sheetData>
    <row r="1" spans="1:1">
      <c r="A1" t="s">
        <v>452</v>
      </c>
    </row>
    <row r="2" spans="1:1">
      <c r="A2" t="s">
        <v>453</v>
      </c>
    </row>
  </sheetData>
  <pageMargins left="0.7" right="0.7" top="0.75" bottom="0.75" header="0.3" footer="0.3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D A A B Q S w M E F A A C A A g A D 7 t N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P u 0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7 t N W W e d N 4 2 y A A A A c g E A A B M A H A B G b 3 J t d W x h c y 9 T Z W N 0 a W 9 u M S 5 t I K I Y A C i g F A A A A A A A A A A A A A A A A A A A A A A A A A A A A M 3 O w Q q C Q B A G 4 L v g O w x 7 7 i I i B O J B M F I q s L K g I m L c h p L M r d 1 Z y J 4 + q 4 v 0 B M 1 l h n / + w 2 d I c q U a W H 6 3 F 7 q O 6 5 g z a j p C n G c T a i E C Y U h q 4 o N E N U 3 k W P n x 7 B L U o 5 V 9 r h N O f b U Z F d u 0 G i 4 M B S c s z z e e B Q K u x A i 7 z O S o s b t J z y 3 p N m J t a Q B F e 6 N I F P R g M Y D f z o L u t u o A n + 6 + L 0 q Q s U R D W f J P q s / b 6 0 Q 1 s e t A N 0 t l t a S 3 U b h O 1 f T D 8 A V Q S w E C L Q A U A A I A C A A P u 0 1 Z e M x E Y q M A A A D 1 A A A A E g A A A A A A A A A A A A A A A A A A A A A A Q 2 9 u Z m l n L 1 B h Y 2 t h Z 2 U u e G 1 s U E s B A i 0 A F A A C A A g A D 7 t N W Q / K 6 a u k A A A A 6 Q A A A B M A A A A A A A A A A A A A A A A A 7 w A A A F t D b 2 5 0 Z W 5 0 X 1 R 5 c G V z X S 5 4 b W x Q S w E C L Q A U A A I A C A A P u 0 1 Z Z 5 0 3 j b I A A A B y A Q A A E w A A A A A A A A A A A A A A A A D g A Q A A R m 9 y b X V s Y X M v U 2 V j d G l v b j E u b V B L B Q Y A A A A A A w A D A M I A A A D f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1 D g A A A A A A A B M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S 2 V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Z D N h Z D A 2 M j E t M j E y N C 0 0 N T g z L T l j N j Q t Z j d h O D c 4 M j Y 0 O W R l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M z c z M T c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h Y m F z Z U l E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S U Q i I F Z h b H V l P S J z N D U z M D M z N m M t M W U x Z i 0 0 M z J h L W J m O D E t Y z F m Z D R k N m Z k Y m Q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x M 1 Q y M T o y N D o y N i 4 x N D k 4 N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T F l Y T Q 2 M S 0 4 N j F m L T Q 3 M T I t Y W V k Y i 0 0 M z Q 0 Y T J h N j E 4 O T c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N U M j E 6 M j Q 6 M z A u M z k 5 M T k w O V o i I C 8 + P E V u d H J 5 I F R 5 c G U 9 I k Z p b G x D b 2 x 1 b W 5 U e X B l c y I g V m F s d W U 9 I n N C Z z 0 9 I i A v P j x F b n R y e S B U e X B l P S J G a W x s Q 2 9 s d W 1 u T m F t Z X M i I F Z h b H V l P S J z W y Z x d W 9 0 O 1 F 1 Z X J 5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B d X R v U m V t b 3 Z l Z E N v b H V t b n M x L n t R d W V y e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X V l c n k x L 0 F 1 d G 9 S Z W 1 v d m V k Q 2 9 s d W 1 u c z E u e 1 F 1 Z X J 5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6 q q i f t H b S r M 3 e V W l g Y v i A A A A A A I A A A A A A B B m A A A A A Q A A I A A A A E m N K F 3 e Y A U s 1 h e f K a g R p h V m t 0 t L M W 6 n d y B X E u T q z Y T Q A A A A A A 6 A A A A A A g A A I A A A A L d D G q J 7 T p W S v r K n 6 f O x + h d d 1 I c p V n u h H v e T t 8 7 Q C m N I U A A A A C v y q N m O P x G 6 R n F J U e 4 / + i d B G w h Q C R H D 3 J H E 8 d W / 9 F I h g X q 6 w 2 H h V 4 t j z f J 2 + K L / 8 o Y h 6 V N s r i g L X T E v i G c v K k X s d 2 B / Z M w 4 E G A x i v 0 n y n w g Q A A A A D v 9 3 K o l 0 U 1 c n G g b Y z L Z Q V b v W M m Z p + C k 4 Q a 7 9 J J s E L 6 A l P j 5 O T N 0 y a V 2 8 m z l g d z o 6 q 5 2 E 6 h t 4 c 6 N h H w m q F o 1 0 / 8 = < / D a t a M a s h u p > 
</file>

<file path=customXml/itemProps1.xml><?xml version="1.0" encoding="utf-8"?>
<ds:datastoreItem xmlns:ds="http://schemas.openxmlformats.org/officeDocument/2006/customXml" ds:itemID="{E9D561F3-CEAB-4D12-97E3-557285812EA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 BUSINES</vt:lpstr>
      <vt:lpstr>Target</vt:lpstr>
      <vt:lpstr>ENDORSMENTS</vt:lpstr>
      <vt:lpstr>ProActiv</vt:lpstr>
      <vt:lpstr>Monthly Sales</vt:lpstr>
      <vt:lpstr>Query1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Nelly Nkusi</dc:creator>
  <cp:lastModifiedBy>BIG SHARK TECHNOLOGY</cp:lastModifiedBy>
  <dcterms:created xsi:type="dcterms:W3CDTF">2024-06-12T10:41:00Z</dcterms:created>
  <dcterms:modified xsi:type="dcterms:W3CDTF">2024-10-18T17:07:40Z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F4668D552500454686AF45ED7A6A5E08_12</vt:lpwstr>
  </property>
  <property fmtid="{D5CDD505-2E9C-101B-9397-08002B2CF9AE}" pid="3" name="KSOProductBuildVer">
    <vt:lpwstr>1033-12.2.0.13472</vt:lpwstr>
  </property>
</Properties>
</file>