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2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44525"/>
</workbook>
</file>

<file path=xl/connections.xml><?xml version="1.0" encoding="utf-8"?>
<connections xmlns="http://schemas.openxmlformats.org/spreadsheetml/2006/main">
  <connection id="1" name="Query - APIKey" description="Connection to the 'APIKey' query in the workbook." type="5" background="1" refreshedVersion="2" saveData="1">
    <dbPr connection="Provider=Microsoft.Mashup.OleDb.1;Data Source=$Workbook$;Location=APIKey;Extended Properties=&quot;&quot;" command="SELECT * FROM [APIKey]" commandType="2"/>
  </connection>
  <connection id="2" name="Query - DatabaseID" description="Connection to the 'DatabaseID' query in the workbook." type="5" background="1" refreshedVersion="2" saveData="1">
    <dbPr connection="Provider=Microsoft.Mashup.OleDb.1;Data Source=$Workbook$;Location=DatabaseID;Extended Properties=&quot;&quot;" command="SELECT * FROM [DatabaseID]" commandType="2"/>
  </connection>
  <connection id="3" name="Query - Query1" description="Connection to the 'Query1' query in the workbook." type="5" background="1" refreshedVersion="2" saveData="1">
    <dbPr connection="Provider=Microsoft.Mashup.OleDb.1;Data Source=$Workbook$;Location=Query1;Extended Properties=&quot;&quot;" command="SELECT * FROM [Query1]" commandType="2"/>
  </connection>
</connections>
</file>

<file path=xl/sharedStrings.xml><?xml version="1.0" encoding="utf-8"?>
<sst xmlns="http://schemas.openxmlformats.org/spreadsheetml/2006/main" count="2074" uniqueCount="455">
  <si>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</si>
  <si>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</si>
  <si>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</si>
  <si>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</si>
  <si>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</si>
  <si>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</si>
  <si>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</si>
  <si>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</si>
  <si>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</si>
  <si>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</si>
  <si>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</si>
  <si>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</si>
  <si>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</si>
  <si>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</si>
  <si>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</si>
  <si>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</si>
  <si>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</si>
  <si>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</si>
  <si>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</si>
  <si>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</si>
  <si>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</si>
  <si>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</si>
  <si>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</si>
  <si>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</si>
  <si>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</si>
  <si>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</si>
  <si>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</si>
  <si>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</si>
  <si>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</si>
  <si>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</si>
  <si>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</si>
  <si>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</si>
  <si>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</si>
  <si>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CHANCEN INTERNATIONAL RWANDA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</si>
  <si>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</si>
  <si>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</si>
  <si>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</si>
  <si>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</si>
  <si>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</si>
  <si>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</si>
  <si>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</si>
  <si>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</si>
  <si>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</si>
  <si>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RWANDA BANKERS ASSOCIATION</t>
  </si>
  <si>
    <t>Three Stones International Rwanda Ltd</t>
  </si>
  <si>
    <t>FONDATION PAUL GERIN-LAJOIE</t>
  </si>
  <si>
    <t>RUTINDUKANAMUREGO ROGER MARC</t>
  </si>
  <si>
    <t>NIYONSHUTI LAMBERT</t>
  </si>
  <si>
    <t>YLABS STUDIO LTD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</si>
  <si>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</si>
  <si>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</si>
  <si>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</si>
  <si>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</si>
  <si>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</si>
  <si>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</si>
  <si>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</si>
  <si>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</si>
  <si>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</si>
  <si>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</si>
  <si>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</si>
  <si>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</si>
  <si>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</si>
  <si>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</si>
  <si>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</si>
  <si>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</si>
  <si>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</si>
  <si>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</si>
  <si>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</si>
  <si>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</si>
  <si>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</si>
  <si>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Ylabs Studio Ltd</t>
  </si>
  <si>
    <t>ProActiv</t>
  </si>
  <si>
    <t>30/06/2024</t>
  </si>
  <si>
    <t>Bilie-ve co Ltd</t>
  </si>
  <si>
    <t>PLASTIC SURGERY AND BEAUTY CLINICS</t>
  </si>
  <si>
    <t>31/12/2024</t>
  </si>
  <si>
    <t>PROSPER NSENGIYUMVA</t>
  </si>
  <si>
    <t>AURA ENTERPRISES LTD</t>
  </si>
  <si>
    <t>AXIOM NETWORKS LTD</t>
  </si>
  <si>
    <t>Zamara</t>
  </si>
  <si>
    <t>JOSUE IBULUNGU</t>
  </si>
  <si>
    <t>UMUGISHA KWIZERA LILIOSE</t>
  </si>
  <si>
    <t>Bishosi</t>
  </si>
  <si>
    <t>Bishosi &amp; Doreen</t>
  </si>
  <si>
    <t>Norrsken Pool</t>
  </si>
  <si>
    <t>UWABEZA FAUSTA</t>
  </si>
  <si>
    <t>Frank</t>
  </si>
  <si>
    <t>Frank &amp; Honoline</t>
  </si>
  <si>
    <t>ESPARTNERS</t>
  </si>
  <si>
    <t>UNLOCK IMPACT Ltd</t>
  </si>
  <si>
    <t>KIVU CHOICE Limited- FUND MANAGEMENT</t>
  </si>
  <si>
    <t>Renew/Insured</t>
  </si>
  <si>
    <t>Renewals</t>
  </si>
  <si>
    <t>OPENFIELD RWANDA Limited</t>
  </si>
  <si>
    <t>MIGHTY ENGINEERING LLC</t>
  </si>
  <si>
    <t>CHALLENGES CONSULTING RWANDA Limited</t>
  </si>
  <si>
    <t>HIRWA MICHAEL DYLAN</t>
  </si>
  <si>
    <t>NORWEGIAN PEOPLE'S AID</t>
  </si>
  <si>
    <t>FADA</t>
  </si>
  <si>
    <t>WIREDIN LTD</t>
  </si>
  <si>
    <t>Carmen&amp;Frank</t>
  </si>
  <si>
    <t xml:space="preserve">MUA </t>
  </si>
  <si>
    <t>MBAKUYE GESY BECKET</t>
  </si>
  <si>
    <t>IST- AFRICA Limited</t>
  </si>
  <si>
    <t>Innocent Ntwali</t>
  </si>
  <si>
    <t>KABISA GO ELECTRIC</t>
  </si>
  <si>
    <t>RICEM</t>
  </si>
  <si>
    <t>Mika</t>
  </si>
  <si>
    <t>Mika &amp; Sandrina</t>
  </si>
  <si>
    <t>ISHIMWE SHANICE</t>
  </si>
  <si>
    <t>iHELP Ltd</t>
  </si>
  <si>
    <t>UMUHOZA IKIREZI ANGE DIVINE</t>
  </si>
  <si>
    <t>Deriv (RW) Ltd</t>
  </si>
  <si>
    <t>KIGALI CONVENTION CENTER LTD</t>
  </si>
  <si>
    <t>Global Risk</t>
  </si>
  <si>
    <t>GAGA AUTO SPARE PARTS LTD</t>
  </si>
  <si>
    <t>Anita</t>
  </si>
  <si>
    <t>EDUCATE</t>
  </si>
  <si>
    <t>Safe Insurance broker</t>
  </si>
  <si>
    <t>AFRICA MOBILITY SOLUTIONS RWANDA LTD</t>
  </si>
  <si>
    <t>2025-04-31</t>
  </si>
  <si>
    <t xml:space="preserve">CZ RWANDA LTD </t>
  </si>
  <si>
    <t>Renew/Fund</t>
  </si>
  <si>
    <t>TLC SPACE</t>
  </si>
  <si>
    <t>Pauline</t>
  </si>
  <si>
    <t>Michel &amp; Pauline</t>
  </si>
  <si>
    <t>JIBU CORPORATE RWANDA LTD</t>
  </si>
  <si>
    <t>Bilive it co Ltd</t>
  </si>
  <si>
    <t>MUNYANGEYO MUCINYA LANDRY</t>
  </si>
  <si>
    <t>MUNYEMANA SULTAN ERIC</t>
  </si>
  <si>
    <t>Norsken Pool P(Ndegeya Cyrile)</t>
  </si>
  <si>
    <t>Doreen</t>
  </si>
  <si>
    <t>TINOTENDA KAHONDE</t>
  </si>
  <si>
    <t>LOLC UNGUKA FINANCE</t>
  </si>
  <si>
    <t>Connect</t>
  </si>
  <si>
    <t>HENCE TECHNOLOGIES RWANDA LTD</t>
  </si>
  <si>
    <t>SOLID’ AFRICA</t>
  </si>
  <si>
    <t>ROMALO LTD</t>
  </si>
  <si>
    <t>Cuzo</t>
  </si>
  <si>
    <t>Norsken Pool S  EL BAHJA HAMID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</si>
  <si>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</si>
  <si>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</si>
  <si>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</si>
  <si>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</si>
  <si>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</si>
  <si>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</si>
  <si>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THREE STONES INTERNATIONAL RWANDA</t>
  </si>
  <si>
    <t xml:space="preserve">GREEN TOURS TRAVEL LTD </t>
  </si>
  <si>
    <t>NORSKEN POOL U (MURENZI ALFRED)</t>
  </si>
  <si>
    <t>TRES INFRASTRUCTURE LTD</t>
  </si>
  <si>
    <t>PANGEA GROUP LTD</t>
  </si>
  <si>
    <t>Innovative VAS</t>
  </si>
  <si>
    <t>-</t>
  </si>
  <si>
    <t>Norsken pool V (NDOLI AIME PATRICK)</t>
  </si>
  <si>
    <t>Sandrina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</si>
  <si>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</si>
  <si>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</si>
  <si>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</si>
  <si>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</si>
  <si>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</si>
  <si>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</si>
  <si>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</si>
  <si>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</si>
  <si>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</si>
  <si>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</si>
  <si>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</si>
  <si>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</si>
  <si>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</si>
  <si>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</si>
  <si>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</si>
  <si>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</si>
  <si>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CCI RWANDA</t>
  </si>
  <si>
    <t>MVEND LIMITED</t>
  </si>
  <si>
    <t>GAHIZI CHISTELLE</t>
  </si>
  <si>
    <t>JESSICA GASASIRA</t>
  </si>
  <si>
    <t>ICDL</t>
  </si>
  <si>
    <t>Olea</t>
  </si>
  <si>
    <t>KIGALI DERMATOLOGY CENTER LTD</t>
  </si>
  <si>
    <t>ITO EAST AFRICA LTD</t>
  </si>
  <si>
    <t>Honoline</t>
  </si>
  <si>
    <t>REM LIMITED</t>
  </si>
  <si>
    <t>African Leadership University Rwanda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</si>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</sst>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\ #\ ###\ ###"/>
    <numFmt numFmtId="178" formatCode="m/d/yyyy;@"/>
    <numFmt numFmtId="179" formatCode="_(* #,##0_);_(* \(#,##0\);_(* &quot;-&quot;??_);_(@_)"/>
    <numFmt numFmtId="180" formatCode="dd/mm/yyyy"/>
    <numFmt numFmtId="181" formatCode="0.00_);[Red]\(0.00\)"/>
    <numFmt numFmtId="182" formatCode="yyyy\-mm\-dd"/>
  </numFmts>
  <fonts count="3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77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58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58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78" fontId="0" fillId="0" borderId="0" xfId="0" applyNumberFormat="1"/>
    <xf numFmtId="0" fontId="4" fillId="2" borderId="10" xfId="0" applyFont="1" applyFill="1" applyBorder="1" applyAlignment="1">
      <alignment vertical="center"/>
    </xf>
    <xf numFmtId="178" fontId="4" fillId="2" borderId="10" xfId="0" applyNumberFormat="1" applyFont="1" applyFill="1" applyBorder="1" applyAlignment="1">
      <alignment vertical="center"/>
    </xf>
    <xf numFmtId="179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78" fontId="5" fillId="3" borderId="10" xfId="0" applyNumberFormat="1" applyFont="1" applyFill="1" applyBorder="1"/>
    <xf numFmtId="180" fontId="5" fillId="3" borderId="10" xfId="0" applyNumberFormat="1" applyFont="1" applyFill="1" applyBorder="1"/>
    <xf numFmtId="179" fontId="5" fillId="3" borderId="10" xfId="0" applyNumberFormat="1" applyFont="1" applyFill="1" applyBorder="1"/>
    <xf numFmtId="179" fontId="4" fillId="2" borderId="11" xfId="0" applyNumberFormat="1" applyFont="1" applyFill="1" applyBorder="1" applyAlignment="1">
      <alignment vertical="center"/>
    </xf>
    <xf numFmtId="179" fontId="5" fillId="0" borderId="10" xfId="0" applyNumberFormat="1" applyFont="1" applyBorder="1"/>
    <xf numFmtId="0" fontId="0" fillId="0" borderId="0" xfId="0" applyFont="1"/>
    <xf numFmtId="179" fontId="6" fillId="0" borderId="0" xfId="0" applyNumberFormat="1" applyFont="1"/>
    <xf numFmtId="0" fontId="9" fillId="0" borderId="10" xfId="0" applyFont="1" applyBorder="1"/>
    <xf numFmtId="178" fontId="9" fillId="3" borderId="10" xfId="0" applyNumberFormat="1" applyFont="1" applyFill="1" applyBorder="1"/>
    <xf numFmtId="180" fontId="9" fillId="3" borderId="10" xfId="0" applyNumberFormat="1" applyFont="1" applyFill="1" applyBorder="1"/>
    <xf numFmtId="179" fontId="9" fillId="3" borderId="10" xfId="0" applyNumberFormat="1" applyFont="1" applyFill="1" applyBorder="1"/>
    <xf numFmtId="0" fontId="10" fillId="0" borderId="12" xfId="0" applyFont="1" applyBorder="1"/>
    <xf numFmtId="180" fontId="10" fillId="4" borderId="13" xfId="0" applyNumberFormat="1" applyFont="1" applyFill="1" applyBorder="1" applyAlignment="1">
      <alignment horizontal="right"/>
    </xf>
    <xf numFmtId="179" fontId="10" fillId="4" borderId="12" xfId="0" applyNumberFormat="1" applyFont="1" applyFill="1" applyBorder="1"/>
    <xf numFmtId="178" fontId="10" fillId="4" borderId="12" xfId="0" applyNumberFormat="1" applyFont="1" applyFill="1" applyBorder="1" applyAlignment="1">
      <alignment horizontal="right"/>
    </xf>
    <xf numFmtId="179" fontId="9" fillId="0" borderId="10" xfId="0" applyNumberFormat="1" applyFont="1" applyBorder="1"/>
    <xf numFmtId="179" fontId="10" fillId="0" borderId="10" xfId="0" applyNumberFormat="1" applyFont="1" applyBorder="1"/>
    <xf numFmtId="179" fontId="10" fillId="0" borderId="12" xfId="0" applyNumberFormat="1" applyFont="1" applyBorder="1"/>
    <xf numFmtId="179" fontId="10" fillId="0" borderId="13" xfId="0" applyNumberFormat="1" applyFont="1" applyBorder="1"/>
    <xf numFmtId="180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9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79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81" fontId="0" fillId="0" borderId="0" xfId="0" applyNumberFormat="1"/>
    <xf numFmtId="58" fontId="0" fillId="0" borderId="0" xfId="0" applyNumberFormat="1"/>
    <xf numFmtId="179" fontId="4" fillId="2" borderId="9" xfId="0" applyNumberFormat="1" applyFont="1" applyFill="1" applyBorder="1" applyAlignment="1">
      <alignment vertical="center"/>
    </xf>
    <xf numFmtId="58" fontId="4" fillId="2" borderId="9" xfId="0" applyNumberFormat="1" applyFont="1" applyFill="1" applyBorder="1" applyAlignment="1">
      <alignment vertical="center"/>
    </xf>
    <xf numFmtId="0" fontId="0" fillId="0" borderId="9" xfId="0" applyFont="1" applyBorder="1"/>
    <xf numFmtId="179" fontId="5" fillId="0" borderId="9" xfId="0" applyNumberFormat="1" applyFont="1" applyBorder="1"/>
    <xf numFmtId="179" fontId="5" fillId="0" borderId="9" xfId="1" applyNumberFormat="1" applyFont="1" applyBorder="1"/>
    <xf numFmtId="179" fontId="5" fillId="0" borderId="9" xfId="1" applyNumberFormat="1" applyFont="1" applyFill="1" applyBorder="1"/>
    <xf numFmtId="0" fontId="0" fillId="0" borderId="9" xfId="0" applyBorder="1"/>
    <xf numFmtId="0" fontId="10" fillId="0" borderId="9" xfId="0" applyFont="1" applyBorder="1"/>
    <xf numFmtId="181" fontId="4" fillId="2" borderId="9" xfId="0" applyNumberFormat="1" applyFont="1" applyFill="1" applyBorder="1" applyAlignment="1">
      <alignment vertical="center"/>
    </xf>
    <xf numFmtId="178" fontId="4" fillId="2" borderId="9" xfId="0" applyNumberFormat="1" applyFont="1" applyFill="1" applyBorder="1" applyAlignment="1">
      <alignment vertical="center"/>
    </xf>
    <xf numFmtId="181" fontId="5" fillId="0" borderId="9" xfId="0" applyNumberFormat="1" applyFont="1" applyBorder="1"/>
    <xf numFmtId="178" fontId="5" fillId="0" borderId="9" xfId="0" applyNumberFormat="1" applyFont="1" applyBorder="1"/>
    <xf numFmtId="58" fontId="5" fillId="0" borderId="9" xfId="0" applyNumberFormat="1" applyFont="1" applyBorder="1"/>
    <xf numFmtId="0" fontId="5" fillId="0" borderId="9" xfId="1" applyNumberFormat="1" applyFont="1" applyFill="1" applyBorder="1"/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78" fontId="5" fillId="0" borderId="9" xfId="0" applyNumberFormat="1" applyFont="1" applyBorder="1" applyAlignment="1">
      <alignment horizontal="right"/>
    </xf>
    <xf numFmtId="58" fontId="5" fillId="0" borderId="9" xfId="0" applyNumberFormat="1" applyFont="1" applyBorder="1" applyAlignment="1">
      <alignment horizontal="right"/>
    </xf>
    <xf numFmtId="182" fontId="4" fillId="2" borderId="9" xfId="0" applyNumberFormat="1" applyFont="1" applyFill="1" applyBorder="1" applyAlignment="1">
      <alignment vertical="center"/>
    </xf>
    <xf numFmtId="182" fontId="5" fillId="0" borderId="9" xfId="0" applyNumberFormat="1" applyFont="1" applyBorder="1"/>
    <xf numFmtId="0" fontId="5" fillId="0" borderId="9" xfId="1" applyNumberFormat="1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2" fontId="5" fillId="0" borderId="9" xfId="0" applyNumberFormat="1" applyFont="1" applyBorder="1"/>
    <xf numFmtId="179" fontId="10" fillId="0" borderId="9" xfId="0" applyNumberFormat="1" applyFont="1" applyBorder="1"/>
    <xf numFmtId="178" fontId="10" fillId="0" borderId="9" xfId="0" applyNumberFormat="1" applyFont="1" applyBorder="1" applyAlignment="1">
      <alignment horizontal="right"/>
    </xf>
    <xf numFmtId="58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81" fontId="10" fillId="0" borderId="9" xfId="0" applyNumberFormat="1" applyFont="1" applyBorder="1"/>
    <xf numFmtId="182" fontId="10" fillId="0" borderId="9" xfId="0" applyNumberFormat="1" applyFont="1" applyBorder="1" applyAlignment="1">
      <alignment horizontal="right"/>
    </xf>
    <xf numFmtId="0" fontId="5" fillId="0" borderId="0" xfId="0" applyFont="1" applyBorder="1"/>
    <xf numFmtId="182" fontId="10" fillId="0" borderId="0" xfId="0" applyNumberFormat="1" applyFont="1" applyBorder="1" applyAlignment="1">
      <alignment horizontal="right"/>
    </xf>
    <xf numFmtId="0" fontId="12" fillId="5" borderId="0" xfId="0" applyFont="1" applyFill="1" applyBorder="1" applyAlignment="1">
      <alignment vertical="center" wrapText="1"/>
    </xf>
    <xf numFmtId="182" fontId="5" fillId="0" borderId="0" xfId="0" applyNumberFormat="1" applyFont="1" applyBorder="1"/>
    <xf numFmtId="0" fontId="10" fillId="0" borderId="0" xfId="0" applyFont="1" applyBorder="1"/>
    <xf numFmtId="0" fontId="6" fillId="0" borderId="0" xfId="0" applyFont="1" applyBorder="1"/>
    <xf numFmtId="0" fontId="0" fillId="0" borderId="15" xfId="0" applyBorder="1"/>
    <xf numFmtId="0" fontId="0" fillId="0" borderId="16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A2" tableType="queryTable" totalsRowShown="0">
  <autoFilter ref="A1:A2"/>
  <tableColumns count="1">
    <tableColumn id="1" name="Query1" uniqueName="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4"/>
  <sheetViews>
    <sheetView topLeftCell="I1" workbookViewId="0">
      <pane ySplit="2" topLeftCell="A44" activePane="bottomLeft" state="frozen"/>
      <selection/>
      <selection pane="bottomLeft" activeCell="O1" sqref="O$1:O$1048576"/>
    </sheetView>
  </sheetViews>
  <sheetFormatPr defaultColWidth="14.4285714285714" defaultRowHeight="15" customHeight="1"/>
  <cols>
    <col min="1" max="1" width="67" customWidth="1"/>
    <col min="2" max="2" width="18.5714285714286" customWidth="1"/>
    <col min="3" max="4" width="17.2857142857143" customWidth="1"/>
    <col min="5" max="5" width="18.2857142857143" customWidth="1"/>
    <col min="6" max="6" width="11.8571428571429" customWidth="1"/>
    <col min="7" max="7" width="12.7142857142857" customWidth="1"/>
    <col min="8" max="8" width="24.1428571428571" customWidth="1"/>
    <col min="9" max="9" width="14.8571428571429" customWidth="1"/>
    <col min="10" max="10" width="17.5714285714286" customWidth="1"/>
    <col min="11" max="11" width="22.2857142857143" customWidth="1"/>
    <col min="12" max="12" width="12.5714285714286" customWidth="1"/>
    <col min="13" max="13" width="13.8571428571429" style="56" customWidth="1"/>
    <col min="14" max="14" width="17.1428571428571" customWidth="1"/>
    <col min="15" max="15" width="11.5714285714286" style="23" customWidth="1"/>
    <col min="16" max="16" width="12.1428571428571" style="57" customWidth="1"/>
    <col min="17" max="18" width="13.4285714285714" customWidth="1"/>
    <col min="19" max="19" width="10" customWidth="1"/>
    <col min="20" max="22" width="26.8571428571429" customWidth="1"/>
    <col min="23" max="23" width="24.2857142857143" customWidth="1"/>
    <col min="24" max="24" width="16.2857142857143" customWidth="1"/>
    <col min="25" max="25" width="11.5714285714286" customWidth="1"/>
    <col min="26" max="26" width="26" customWidth="1"/>
    <col min="27" max="31" width="8.71428571428571" customWidth="1"/>
  </cols>
  <sheetData>
    <row r="1" ht="15.75" customHeight="1" spans="1:27">
      <c r="A1" s="17" t="s">
        <v>0</v>
      </c>
      <c r="B1" s="17" t="s">
        <v>1</v>
      </c>
      <c r="C1" s="17" t="s">
        <v>2</v>
      </c>
      <c r="D1" s="17" t="s">
        <v>3</v>
      </c>
      <c r="E1" s="58" t="s">
        <v>4</v>
      </c>
      <c r="F1" s="58" t="s">
        <v>5</v>
      </c>
      <c r="G1" s="17" t="s">
        <v>6</v>
      </c>
      <c r="H1" s="59" t="s">
        <v>7</v>
      </c>
      <c r="I1" s="59" t="s">
        <v>8</v>
      </c>
      <c r="J1" s="58" t="s">
        <v>9</v>
      </c>
      <c r="K1" s="58" t="s">
        <v>10</v>
      </c>
      <c r="L1" s="17" t="s">
        <v>11</v>
      </c>
      <c r="M1" s="66" t="s">
        <v>12</v>
      </c>
      <c r="N1" s="17" t="s">
        <v>13</v>
      </c>
      <c r="O1" s="67" t="s">
        <v>14</v>
      </c>
      <c r="P1" s="59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6" t="s">
        <v>22</v>
      </c>
      <c r="X1" s="17" t="s">
        <v>23</v>
      </c>
      <c r="Y1" s="79"/>
      <c r="Z1" s="17" t="s">
        <v>24</v>
      </c>
      <c r="AA1" s="80" t="s">
        <v>25</v>
      </c>
    </row>
    <row r="2" ht="21" customHeight="1" spans="1:27">
      <c r="A2" s="18" t="s">
        <v>26</v>
      </c>
      <c r="B2" s="18" t="s">
        <v>27</v>
      </c>
      <c r="C2" s="60" t="s">
        <v>28</v>
      </c>
      <c r="D2" s="60" t="s">
        <v>28</v>
      </c>
      <c r="E2" s="61">
        <v>2519484</v>
      </c>
      <c r="F2" s="61">
        <f t="shared" ref="F2:F36" si="0">E2*5%</f>
        <v>125974.2</v>
      </c>
      <c r="G2" s="61">
        <v>70000</v>
      </c>
      <c r="H2" s="61">
        <f t="shared" ref="H2:H36" si="1">SUM(E2:G2)</f>
        <v>2715458.2</v>
      </c>
      <c r="I2" s="61">
        <v>0</v>
      </c>
      <c r="J2" s="61">
        <f>SUM(H2:I2)</f>
        <v>2715458.2</v>
      </c>
      <c r="K2" s="61">
        <f t="shared" ref="K2:K65" si="2">J2/L2</f>
        <v>678864.55</v>
      </c>
      <c r="L2" s="18">
        <v>4</v>
      </c>
      <c r="M2" s="68">
        <v>3</v>
      </c>
      <c r="N2" s="18">
        <f>SUM(L2:M2)</f>
        <v>7</v>
      </c>
      <c r="O2" s="69">
        <v>45292</v>
      </c>
      <c r="P2" s="70">
        <v>46022</v>
      </c>
      <c r="Q2" s="18" t="str">
        <f t="shared" ref="Q2:Q65" si="3">TEXT(O2,"mmmm")</f>
        <v>January</v>
      </c>
      <c r="R2" s="18">
        <f t="shared" ref="R2:R65" si="4">YEAR(O2)</f>
        <v>2024</v>
      </c>
      <c r="S2" s="18" t="s">
        <v>29</v>
      </c>
      <c r="T2" s="18" t="s">
        <v>30</v>
      </c>
      <c r="U2" s="18" t="s">
        <v>31</v>
      </c>
      <c r="V2" s="53" t="s">
        <v>32</v>
      </c>
      <c r="W2" s="77">
        <v>45278</v>
      </c>
      <c r="X2" s="18">
        <f ca="1">TODAY()-O2</f>
        <v>302</v>
      </c>
      <c r="Y2" s="18">
        <f>O2-W2</f>
        <v>14</v>
      </c>
      <c r="Z2" s="64">
        <f>ROUND(M2/L2,2)</f>
        <v>0.75</v>
      </c>
      <c r="AA2" t="str">
        <f t="shared" ref="AA2:AA65" si="5">IF(L2&lt;=29,"Hares",IF(L2&lt;=99,"Tigers",IF(L2&lt;=499,"Elephants","Whales")))</f>
        <v>Hares</v>
      </c>
    </row>
    <row r="3" ht="16.5" spans="1:27">
      <c r="A3" s="18" t="s">
        <v>33</v>
      </c>
      <c r="B3" s="18" t="s">
        <v>27</v>
      </c>
      <c r="C3" s="62" t="s">
        <v>28</v>
      </c>
      <c r="D3" s="62" t="s">
        <v>28</v>
      </c>
      <c r="E3" s="62">
        <v>22496088</v>
      </c>
      <c r="F3" s="62">
        <f t="shared" si="0"/>
        <v>1124804.4</v>
      </c>
      <c r="G3" s="62">
        <f>5000*57</f>
        <v>285000</v>
      </c>
      <c r="H3" s="63">
        <f t="shared" si="1"/>
        <v>23905892.4</v>
      </c>
      <c r="I3" s="62">
        <v>0</v>
      </c>
      <c r="J3" s="63">
        <f t="shared" ref="J3:J36" si="6">SUM(G3:H3)</f>
        <v>24190892.4</v>
      </c>
      <c r="K3" s="63">
        <f t="shared" si="2"/>
        <v>780351.367741935</v>
      </c>
      <c r="L3" s="18">
        <v>31</v>
      </c>
      <c r="M3" s="68">
        <f t="shared" ref="M3:M22" si="7">N3-L3</f>
        <v>17</v>
      </c>
      <c r="N3" s="18">
        <v>48</v>
      </c>
      <c r="O3" s="69">
        <v>44971</v>
      </c>
      <c r="P3" s="70">
        <v>45335</v>
      </c>
      <c r="Q3" s="62" t="str">
        <f t="shared" si="3"/>
        <v>February</v>
      </c>
      <c r="R3" s="78">
        <f t="shared" si="4"/>
        <v>2023</v>
      </c>
      <c r="S3" s="18" t="s">
        <v>29</v>
      </c>
      <c r="T3" s="18"/>
      <c r="U3" s="18"/>
      <c r="V3" s="18"/>
      <c r="W3" s="18"/>
      <c r="X3" s="18"/>
      <c r="Y3" s="18"/>
      <c r="Z3" s="81">
        <f t="shared" ref="Z3:Z36" si="8">M3/L3</f>
        <v>0.548387096774194</v>
      </c>
      <c r="AA3" t="str">
        <f t="shared" si="5"/>
        <v>Tigers</v>
      </c>
    </row>
    <row r="4" ht="16.5" spans="1:27">
      <c r="A4" s="18" t="s">
        <v>34</v>
      </c>
      <c r="B4" s="18" t="s">
        <v>27</v>
      </c>
      <c r="C4" s="62" t="s">
        <v>28</v>
      </c>
      <c r="D4" s="62" t="s">
        <v>28</v>
      </c>
      <c r="E4" s="62">
        <v>8621293</v>
      </c>
      <c r="F4" s="62">
        <f t="shared" si="0"/>
        <v>431064.65</v>
      </c>
      <c r="G4" s="62">
        <v>480000</v>
      </c>
      <c r="H4" s="63">
        <f t="shared" si="1"/>
        <v>9532357.65</v>
      </c>
      <c r="I4" s="62">
        <v>0</v>
      </c>
      <c r="J4" s="63">
        <f t="shared" si="6"/>
        <v>10012357.65</v>
      </c>
      <c r="K4" s="63">
        <f t="shared" si="2"/>
        <v>208590.784375</v>
      </c>
      <c r="L4" s="18">
        <v>48</v>
      </c>
      <c r="M4" s="68">
        <f t="shared" si="7"/>
        <v>0</v>
      </c>
      <c r="N4" s="18">
        <v>48</v>
      </c>
      <c r="O4" s="69">
        <v>44987</v>
      </c>
      <c r="P4" s="70">
        <v>45077</v>
      </c>
      <c r="Q4" s="62" t="str">
        <f t="shared" si="3"/>
        <v>March</v>
      </c>
      <c r="R4" s="78">
        <f t="shared" si="4"/>
        <v>2023</v>
      </c>
      <c r="S4" s="18" t="s">
        <v>35</v>
      </c>
      <c r="T4" s="18"/>
      <c r="U4" s="18"/>
      <c r="V4" s="18"/>
      <c r="W4" s="18"/>
      <c r="X4" s="18"/>
      <c r="Y4" s="18"/>
      <c r="Z4" s="81">
        <f t="shared" si="8"/>
        <v>0</v>
      </c>
      <c r="AA4" t="str">
        <f t="shared" si="5"/>
        <v>Tigers</v>
      </c>
    </row>
    <row r="5" ht="16.5" spans="1:27">
      <c r="A5" s="18" t="s">
        <v>36</v>
      </c>
      <c r="B5" s="18" t="s">
        <v>27</v>
      </c>
      <c r="C5" s="62" t="s">
        <v>28</v>
      </c>
      <c r="D5" s="62" t="s">
        <v>28</v>
      </c>
      <c r="E5" s="62">
        <v>40164891.8773136</v>
      </c>
      <c r="F5" s="62">
        <f t="shared" si="0"/>
        <v>2008244.59386568</v>
      </c>
      <c r="G5" s="62">
        <v>0</v>
      </c>
      <c r="H5" s="63">
        <f t="shared" si="1"/>
        <v>42173136.4711793</v>
      </c>
      <c r="I5" s="62">
        <v>0</v>
      </c>
      <c r="J5" s="63">
        <f t="shared" si="6"/>
        <v>42173136.4711793</v>
      </c>
      <c r="K5" s="63">
        <f t="shared" si="2"/>
        <v>980770.61560882</v>
      </c>
      <c r="L5" s="18">
        <v>43</v>
      </c>
      <c r="M5" s="68">
        <f t="shared" si="7"/>
        <v>90</v>
      </c>
      <c r="N5" s="18">
        <v>133</v>
      </c>
      <c r="O5" s="69">
        <v>44992</v>
      </c>
      <c r="P5" s="70">
        <v>45357</v>
      </c>
      <c r="Q5" s="62" t="str">
        <f t="shared" si="3"/>
        <v>March</v>
      </c>
      <c r="R5" s="78">
        <f t="shared" si="4"/>
        <v>2023</v>
      </c>
      <c r="S5" s="18" t="s">
        <v>29</v>
      </c>
      <c r="T5" s="18"/>
      <c r="U5" s="18"/>
      <c r="V5" s="18"/>
      <c r="W5" s="18"/>
      <c r="X5" s="18"/>
      <c r="Y5" s="18"/>
      <c r="Z5" s="81">
        <f t="shared" si="8"/>
        <v>2.09302325581395</v>
      </c>
      <c r="AA5" t="str">
        <f t="shared" si="5"/>
        <v>Tigers</v>
      </c>
    </row>
    <row r="6" ht="16.5" spans="1:27">
      <c r="A6" s="18" t="s">
        <v>37</v>
      </c>
      <c r="B6" s="18" t="s">
        <v>27</v>
      </c>
      <c r="C6" s="62" t="s">
        <v>28</v>
      </c>
      <c r="D6" s="62" t="s">
        <v>28</v>
      </c>
      <c r="E6" s="62">
        <v>3790302</v>
      </c>
      <c r="F6" s="62">
        <f t="shared" si="0"/>
        <v>189515.1</v>
      </c>
      <c r="G6" s="62">
        <v>70000</v>
      </c>
      <c r="H6" s="63">
        <f t="shared" si="1"/>
        <v>4049817.1</v>
      </c>
      <c r="I6" s="62">
        <v>0</v>
      </c>
      <c r="J6" s="63">
        <f t="shared" si="6"/>
        <v>4119817.1</v>
      </c>
      <c r="K6" s="63">
        <f t="shared" si="2"/>
        <v>1029954.275</v>
      </c>
      <c r="L6" s="18">
        <v>4</v>
      </c>
      <c r="M6" s="68">
        <f t="shared" si="7"/>
        <v>3</v>
      </c>
      <c r="N6" s="18">
        <v>7</v>
      </c>
      <c r="O6" s="69">
        <v>45013</v>
      </c>
      <c r="P6" s="70">
        <v>45378</v>
      </c>
      <c r="Q6" s="62" t="str">
        <f t="shared" si="3"/>
        <v>March</v>
      </c>
      <c r="R6" s="78">
        <f t="shared" si="4"/>
        <v>2023</v>
      </c>
      <c r="S6" s="18" t="s">
        <v>29</v>
      </c>
      <c r="T6" s="18"/>
      <c r="U6" s="18"/>
      <c r="V6" s="18"/>
      <c r="W6" s="18"/>
      <c r="X6" s="18"/>
      <c r="Y6" s="18"/>
      <c r="Z6" s="81">
        <f t="shared" si="8"/>
        <v>0.75</v>
      </c>
      <c r="AA6" t="str">
        <f t="shared" si="5"/>
        <v>Hares</v>
      </c>
    </row>
    <row r="7" ht="16.5" spans="1:27">
      <c r="A7" s="18" t="s">
        <v>38</v>
      </c>
      <c r="B7" s="18" t="s">
        <v>39</v>
      </c>
      <c r="C7" s="62" t="s">
        <v>28</v>
      </c>
      <c r="D7" s="62" t="s">
        <v>28</v>
      </c>
      <c r="E7" s="62">
        <f>136125+1949127</f>
        <v>2085252</v>
      </c>
      <c r="F7" s="62">
        <f t="shared" si="0"/>
        <v>104262.6</v>
      </c>
      <c r="G7" s="62">
        <v>90000</v>
      </c>
      <c r="H7" s="63">
        <f t="shared" si="1"/>
        <v>2279514.6</v>
      </c>
      <c r="I7" s="62">
        <f>288109+3687410</f>
        <v>3975519</v>
      </c>
      <c r="J7" s="63">
        <f t="shared" si="6"/>
        <v>2369514.6</v>
      </c>
      <c r="K7" s="63">
        <f t="shared" si="2"/>
        <v>148094.6625</v>
      </c>
      <c r="L7" s="18">
        <v>16</v>
      </c>
      <c r="M7" s="68">
        <f t="shared" si="7"/>
        <v>2</v>
      </c>
      <c r="N7" s="18">
        <v>18</v>
      </c>
      <c r="O7" s="69">
        <v>45030</v>
      </c>
      <c r="P7" s="70">
        <v>45395</v>
      </c>
      <c r="Q7" s="62" t="str">
        <f t="shared" si="3"/>
        <v>April</v>
      </c>
      <c r="R7" s="78">
        <f t="shared" si="4"/>
        <v>2023</v>
      </c>
      <c r="S7" s="18" t="s">
        <v>29</v>
      </c>
      <c r="T7" s="18"/>
      <c r="U7" s="18"/>
      <c r="V7" s="18"/>
      <c r="W7" s="18"/>
      <c r="X7" s="18"/>
      <c r="Y7" s="18"/>
      <c r="Z7" s="81">
        <f t="shared" si="8"/>
        <v>0.125</v>
      </c>
      <c r="AA7" t="str">
        <f t="shared" si="5"/>
        <v>Hares</v>
      </c>
    </row>
    <row r="8" ht="16.5" spans="1:27">
      <c r="A8" s="18" t="s">
        <v>40</v>
      </c>
      <c r="B8" s="18" t="s">
        <v>27</v>
      </c>
      <c r="C8" s="62" t="s">
        <v>28</v>
      </c>
      <c r="D8" s="62" t="s">
        <v>28</v>
      </c>
      <c r="E8" s="62">
        <v>2284973</v>
      </c>
      <c r="F8" s="62">
        <f t="shared" si="0"/>
        <v>114248.65</v>
      </c>
      <c r="G8" s="62">
        <v>40000</v>
      </c>
      <c r="H8" s="63">
        <f t="shared" si="1"/>
        <v>2439221.65</v>
      </c>
      <c r="I8" s="62">
        <v>0</v>
      </c>
      <c r="J8" s="63">
        <f t="shared" si="6"/>
        <v>2479221.65</v>
      </c>
      <c r="K8" s="63">
        <f t="shared" si="2"/>
        <v>619805.4125</v>
      </c>
      <c r="L8" s="18">
        <v>4</v>
      </c>
      <c r="M8" s="68">
        <f t="shared" si="7"/>
        <v>0</v>
      </c>
      <c r="N8" s="18">
        <v>4</v>
      </c>
      <c r="O8" s="69">
        <v>45047</v>
      </c>
      <c r="P8" s="70">
        <v>45412</v>
      </c>
      <c r="Q8" s="62" t="str">
        <f t="shared" si="3"/>
        <v>May</v>
      </c>
      <c r="R8" s="78">
        <f t="shared" si="4"/>
        <v>2023</v>
      </c>
      <c r="S8" s="18" t="s">
        <v>41</v>
      </c>
      <c r="T8" s="18"/>
      <c r="U8" s="18"/>
      <c r="V8" s="18"/>
      <c r="W8" s="18"/>
      <c r="X8" s="18"/>
      <c r="Y8" s="18"/>
      <c r="Z8" s="81">
        <f t="shared" si="8"/>
        <v>0</v>
      </c>
      <c r="AA8" t="str">
        <f t="shared" si="5"/>
        <v>Hares</v>
      </c>
    </row>
    <row r="9" ht="16.5" spans="1:27">
      <c r="A9" s="18" t="s">
        <v>42</v>
      </c>
      <c r="B9" s="18" t="s">
        <v>39</v>
      </c>
      <c r="C9" s="62" t="s">
        <v>28</v>
      </c>
      <c r="D9" s="62" t="s">
        <v>28</v>
      </c>
      <c r="E9" s="62">
        <f>4571851+156158</f>
        <v>4728009</v>
      </c>
      <c r="F9" s="62">
        <f t="shared" si="0"/>
        <v>236400.45</v>
      </c>
      <c r="G9" s="62">
        <f>485000</f>
        <v>485000</v>
      </c>
      <c r="H9" s="63">
        <f t="shared" si="1"/>
        <v>5449409.45</v>
      </c>
      <c r="I9" s="62">
        <v>6242034.55</v>
      </c>
      <c r="J9" s="63">
        <f t="shared" si="6"/>
        <v>5934409.45</v>
      </c>
      <c r="K9" s="63">
        <f t="shared" si="2"/>
        <v>169554.555714286</v>
      </c>
      <c r="L9" s="18">
        <v>35</v>
      </c>
      <c r="M9" s="68">
        <f t="shared" si="7"/>
        <v>62</v>
      </c>
      <c r="N9" s="18">
        <v>97</v>
      </c>
      <c r="O9" s="69">
        <v>45071</v>
      </c>
      <c r="P9" s="70">
        <v>45436</v>
      </c>
      <c r="Q9" s="62" t="str">
        <f t="shared" si="3"/>
        <v>May</v>
      </c>
      <c r="R9" s="78">
        <f t="shared" si="4"/>
        <v>2023</v>
      </c>
      <c r="S9" s="18" t="s">
        <v>41</v>
      </c>
      <c r="T9" s="18"/>
      <c r="U9" s="18"/>
      <c r="V9" s="18"/>
      <c r="W9" s="18"/>
      <c r="X9" s="18"/>
      <c r="Y9" s="18"/>
      <c r="Z9" s="81">
        <f t="shared" si="8"/>
        <v>1.77142857142857</v>
      </c>
      <c r="AA9" t="str">
        <f t="shared" si="5"/>
        <v>Tigers</v>
      </c>
    </row>
    <row r="10" ht="16.5" spans="1:27">
      <c r="A10" s="18" t="s">
        <v>43</v>
      </c>
      <c r="B10" s="18" t="s">
        <v>27</v>
      </c>
      <c r="C10" s="62" t="s">
        <v>28</v>
      </c>
      <c r="D10" s="62" t="s">
        <v>28</v>
      </c>
      <c r="E10" s="62">
        <v>5876347</v>
      </c>
      <c r="F10" s="62">
        <f t="shared" si="0"/>
        <v>293817.35</v>
      </c>
      <c r="G10" s="62">
        <v>160000</v>
      </c>
      <c r="H10" s="63">
        <f t="shared" si="1"/>
        <v>6330164.35</v>
      </c>
      <c r="I10" s="62">
        <v>0</v>
      </c>
      <c r="J10" s="63">
        <f t="shared" si="6"/>
        <v>6490164.35</v>
      </c>
      <c r="K10" s="63">
        <f t="shared" si="2"/>
        <v>1298032.87</v>
      </c>
      <c r="L10" s="18">
        <v>5</v>
      </c>
      <c r="M10" s="68">
        <f t="shared" si="7"/>
        <v>11</v>
      </c>
      <c r="N10" s="18">
        <v>16</v>
      </c>
      <c r="O10" s="69">
        <v>45092</v>
      </c>
      <c r="P10" s="70">
        <v>45457</v>
      </c>
      <c r="Q10" s="62" t="str">
        <f t="shared" si="3"/>
        <v>June</v>
      </c>
      <c r="R10" s="78">
        <f t="shared" si="4"/>
        <v>2023</v>
      </c>
      <c r="S10" s="18" t="s">
        <v>35</v>
      </c>
      <c r="T10" s="18"/>
      <c r="U10" s="18"/>
      <c r="V10" s="18"/>
      <c r="W10" s="18"/>
      <c r="X10" s="18"/>
      <c r="Y10" s="18"/>
      <c r="Z10" s="81">
        <f t="shared" si="8"/>
        <v>2.2</v>
      </c>
      <c r="AA10" t="str">
        <f t="shared" si="5"/>
        <v>Hares</v>
      </c>
    </row>
    <row r="11" ht="16.5" spans="1:27">
      <c r="A11" s="18" t="s">
        <v>44</v>
      </c>
      <c r="B11" s="18" t="s">
        <v>27</v>
      </c>
      <c r="C11" s="62" t="s">
        <v>28</v>
      </c>
      <c r="D11" s="62" t="s">
        <v>28</v>
      </c>
      <c r="E11" s="62">
        <v>20830183</v>
      </c>
      <c r="F11" s="62">
        <f t="shared" si="0"/>
        <v>1041509.15</v>
      </c>
      <c r="G11" s="62">
        <v>600000</v>
      </c>
      <c r="H11" s="63">
        <f t="shared" si="1"/>
        <v>22471692.15</v>
      </c>
      <c r="I11" s="62">
        <v>0</v>
      </c>
      <c r="J11" s="63">
        <f t="shared" si="6"/>
        <v>23071692.15</v>
      </c>
      <c r="K11" s="63">
        <f t="shared" si="2"/>
        <v>1153584.6075</v>
      </c>
      <c r="L11" s="18">
        <v>20</v>
      </c>
      <c r="M11" s="68">
        <f t="shared" si="7"/>
        <v>40</v>
      </c>
      <c r="N11" s="18">
        <v>60</v>
      </c>
      <c r="O11" s="69">
        <v>45095</v>
      </c>
      <c r="P11" s="70">
        <v>45460</v>
      </c>
      <c r="Q11" s="62" t="str">
        <f t="shared" si="3"/>
        <v>June</v>
      </c>
      <c r="R11" s="78">
        <f t="shared" si="4"/>
        <v>2023</v>
      </c>
      <c r="S11" s="18" t="s">
        <v>35</v>
      </c>
      <c r="T11" s="18"/>
      <c r="U11" s="18"/>
      <c r="V11" s="18"/>
      <c r="W11" s="18"/>
      <c r="X11" s="18"/>
      <c r="Y11" s="18"/>
      <c r="Z11" s="81">
        <f t="shared" si="8"/>
        <v>2</v>
      </c>
      <c r="AA11" t="str">
        <f t="shared" si="5"/>
        <v>Hares</v>
      </c>
    </row>
    <row r="12" ht="16.5" spans="1:27">
      <c r="A12" s="18" t="s">
        <v>45</v>
      </c>
      <c r="B12" s="18" t="s">
        <v>27</v>
      </c>
      <c r="C12" s="62" t="s">
        <v>28</v>
      </c>
      <c r="D12" s="62" t="s">
        <v>28</v>
      </c>
      <c r="E12" s="62">
        <v>1983154</v>
      </c>
      <c r="F12" s="62">
        <f t="shared" si="0"/>
        <v>99157.7</v>
      </c>
      <c r="G12" s="62">
        <v>80000</v>
      </c>
      <c r="H12" s="63">
        <f t="shared" si="1"/>
        <v>2162311.7</v>
      </c>
      <c r="I12" s="62">
        <v>0</v>
      </c>
      <c r="J12" s="63">
        <f t="shared" si="6"/>
        <v>2242311.7</v>
      </c>
      <c r="K12" s="63">
        <f t="shared" si="2"/>
        <v>1121155.85</v>
      </c>
      <c r="L12" s="18">
        <v>2</v>
      </c>
      <c r="M12" s="68">
        <f t="shared" si="7"/>
        <v>6</v>
      </c>
      <c r="N12" s="18">
        <v>8</v>
      </c>
      <c r="O12" s="69">
        <v>45097</v>
      </c>
      <c r="P12" s="70">
        <v>45462</v>
      </c>
      <c r="Q12" s="62" t="str">
        <f t="shared" si="3"/>
        <v>June</v>
      </c>
      <c r="R12" s="78">
        <f t="shared" si="4"/>
        <v>2023</v>
      </c>
      <c r="S12" s="18" t="s">
        <v>35</v>
      </c>
      <c r="T12" s="18"/>
      <c r="U12" s="18"/>
      <c r="V12" s="18"/>
      <c r="W12" s="18"/>
      <c r="X12" s="18"/>
      <c r="Y12" s="18"/>
      <c r="Z12" s="81">
        <f t="shared" si="8"/>
        <v>3</v>
      </c>
      <c r="AA12" t="str">
        <f t="shared" si="5"/>
        <v>Hares</v>
      </c>
    </row>
    <row r="13" ht="16.5" spans="1:27">
      <c r="A13" s="18" t="s">
        <v>46</v>
      </c>
      <c r="B13" s="18" t="s">
        <v>27</v>
      </c>
      <c r="C13" s="62" t="s">
        <v>28</v>
      </c>
      <c r="D13" s="62" t="s">
        <v>28</v>
      </c>
      <c r="E13" s="62">
        <v>464879</v>
      </c>
      <c r="F13" s="62">
        <f t="shared" si="0"/>
        <v>23243.95</v>
      </c>
      <c r="G13" s="62">
        <v>10000</v>
      </c>
      <c r="H13" s="63">
        <f t="shared" si="1"/>
        <v>498122.95</v>
      </c>
      <c r="I13" s="62">
        <v>0</v>
      </c>
      <c r="J13" s="63">
        <f t="shared" si="6"/>
        <v>508122.95</v>
      </c>
      <c r="K13" s="63">
        <f t="shared" si="2"/>
        <v>508122.95</v>
      </c>
      <c r="L13" s="18">
        <v>1</v>
      </c>
      <c r="M13" s="68">
        <f t="shared" si="7"/>
        <v>0</v>
      </c>
      <c r="N13" s="18">
        <v>1</v>
      </c>
      <c r="O13" s="69">
        <v>45114</v>
      </c>
      <c r="P13" s="70">
        <v>45479</v>
      </c>
      <c r="Q13" s="62" t="str">
        <f t="shared" si="3"/>
        <v>July</v>
      </c>
      <c r="R13" s="78">
        <f t="shared" si="4"/>
        <v>2023</v>
      </c>
      <c r="S13" s="18" t="s">
        <v>29</v>
      </c>
      <c r="T13" s="18"/>
      <c r="U13" s="18"/>
      <c r="V13" s="18"/>
      <c r="W13" s="18"/>
      <c r="X13" s="18"/>
      <c r="Y13" s="18"/>
      <c r="Z13" s="81">
        <f t="shared" si="8"/>
        <v>0</v>
      </c>
      <c r="AA13" t="str">
        <f t="shared" si="5"/>
        <v>Hares</v>
      </c>
    </row>
    <row r="14" ht="16.5" spans="1:27">
      <c r="A14" s="18" t="s">
        <v>47</v>
      </c>
      <c r="B14" s="18" t="s">
        <v>27</v>
      </c>
      <c r="C14" s="62" t="s">
        <v>28</v>
      </c>
      <c r="D14" s="62" t="s">
        <v>28</v>
      </c>
      <c r="E14" s="62">
        <v>478944</v>
      </c>
      <c r="F14" s="62">
        <f t="shared" si="0"/>
        <v>23947.2</v>
      </c>
      <c r="G14" s="62">
        <v>10000</v>
      </c>
      <c r="H14" s="63">
        <f t="shared" si="1"/>
        <v>512891.2</v>
      </c>
      <c r="I14" s="62">
        <v>0</v>
      </c>
      <c r="J14" s="63">
        <f t="shared" si="6"/>
        <v>522891.2</v>
      </c>
      <c r="K14" s="63">
        <f t="shared" si="2"/>
        <v>522891.2</v>
      </c>
      <c r="L14" s="18">
        <v>1</v>
      </c>
      <c r="M14" s="68">
        <f t="shared" si="7"/>
        <v>0</v>
      </c>
      <c r="N14" s="18">
        <v>1</v>
      </c>
      <c r="O14" s="69">
        <v>45121</v>
      </c>
      <c r="P14" s="70">
        <v>45486</v>
      </c>
      <c r="Q14" s="62" t="str">
        <f t="shared" si="3"/>
        <v>July</v>
      </c>
      <c r="R14" s="78">
        <f t="shared" si="4"/>
        <v>2023</v>
      </c>
      <c r="S14" s="18" t="s">
        <v>29</v>
      </c>
      <c r="T14" s="18"/>
      <c r="U14" s="18"/>
      <c r="V14" s="18"/>
      <c r="W14" s="18"/>
      <c r="X14" s="18"/>
      <c r="Y14" s="18"/>
      <c r="Z14" s="81">
        <f t="shared" si="8"/>
        <v>0</v>
      </c>
      <c r="AA14" t="str">
        <f t="shared" si="5"/>
        <v>Hares</v>
      </c>
    </row>
    <row r="15" ht="16.5" spans="1:27">
      <c r="A15" s="18" t="s">
        <v>48</v>
      </c>
      <c r="B15" s="18" t="s">
        <v>27</v>
      </c>
      <c r="C15" s="62" t="s">
        <v>28</v>
      </c>
      <c r="D15" s="62" t="s">
        <v>28</v>
      </c>
      <c r="E15" s="62">
        <v>18581056</v>
      </c>
      <c r="F15" s="62">
        <f t="shared" si="0"/>
        <v>929052.8</v>
      </c>
      <c r="G15" s="62">
        <v>240000</v>
      </c>
      <c r="H15" s="63">
        <f t="shared" si="1"/>
        <v>19750108.8</v>
      </c>
      <c r="I15" s="62">
        <v>0</v>
      </c>
      <c r="J15" s="63">
        <f t="shared" si="6"/>
        <v>19990108.8</v>
      </c>
      <c r="K15" s="63">
        <f t="shared" si="2"/>
        <v>1332673.92</v>
      </c>
      <c r="L15" s="18">
        <v>15</v>
      </c>
      <c r="M15" s="68">
        <f t="shared" si="7"/>
        <v>9</v>
      </c>
      <c r="N15" s="18">
        <v>24</v>
      </c>
      <c r="O15" s="69">
        <v>45129</v>
      </c>
      <c r="P15" s="70">
        <v>45494</v>
      </c>
      <c r="Q15" s="62" t="str">
        <f t="shared" si="3"/>
        <v>July</v>
      </c>
      <c r="R15" s="78">
        <f t="shared" si="4"/>
        <v>2023</v>
      </c>
      <c r="S15" s="18" t="s">
        <v>41</v>
      </c>
      <c r="T15" s="18"/>
      <c r="U15" s="18"/>
      <c r="V15" s="18"/>
      <c r="W15" s="18"/>
      <c r="X15" s="18"/>
      <c r="Y15" s="18"/>
      <c r="Z15" s="81">
        <f t="shared" si="8"/>
        <v>0.6</v>
      </c>
      <c r="AA15" t="str">
        <f t="shared" si="5"/>
        <v>Hares</v>
      </c>
    </row>
    <row r="16" ht="16.5" spans="1:27">
      <c r="A16" s="18" t="s">
        <v>49</v>
      </c>
      <c r="B16" s="18" t="s">
        <v>27</v>
      </c>
      <c r="C16" s="62" t="s">
        <v>28</v>
      </c>
      <c r="D16" s="62" t="s">
        <v>28</v>
      </c>
      <c r="E16" s="62">
        <v>5862972</v>
      </c>
      <c r="F16" s="62">
        <f t="shared" si="0"/>
        <v>293148.6</v>
      </c>
      <c r="G16" s="62">
        <v>220000</v>
      </c>
      <c r="H16" s="63">
        <f t="shared" si="1"/>
        <v>6376120.6</v>
      </c>
      <c r="I16" s="62">
        <v>0</v>
      </c>
      <c r="J16" s="63">
        <f t="shared" si="6"/>
        <v>6596120.6</v>
      </c>
      <c r="K16" s="63">
        <f t="shared" si="2"/>
        <v>1099353.43333333</v>
      </c>
      <c r="L16" s="18">
        <v>6</v>
      </c>
      <c r="M16" s="68">
        <f t="shared" si="7"/>
        <v>16</v>
      </c>
      <c r="N16" s="18">
        <v>22</v>
      </c>
      <c r="O16" s="69">
        <v>45145</v>
      </c>
      <c r="P16" s="70">
        <v>45510</v>
      </c>
      <c r="Q16" s="62" t="str">
        <f t="shared" si="3"/>
        <v>August</v>
      </c>
      <c r="R16" s="78">
        <f t="shared" si="4"/>
        <v>2023</v>
      </c>
      <c r="S16" s="18" t="s">
        <v>35</v>
      </c>
      <c r="T16" s="18"/>
      <c r="U16" s="18"/>
      <c r="V16" s="18"/>
      <c r="W16" s="18"/>
      <c r="X16" s="18"/>
      <c r="Y16" s="18"/>
      <c r="Z16" s="81">
        <f t="shared" si="8"/>
        <v>2.66666666666667</v>
      </c>
      <c r="AA16" t="str">
        <f t="shared" si="5"/>
        <v>Hares</v>
      </c>
    </row>
    <row r="17" ht="16.5" spans="1:27">
      <c r="A17" s="18" t="s">
        <v>50</v>
      </c>
      <c r="B17" s="18" t="s">
        <v>27</v>
      </c>
      <c r="C17" s="62" t="s">
        <v>28</v>
      </c>
      <c r="D17" s="62" t="s">
        <v>28</v>
      </c>
      <c r="E17" s="62">
        <v>544214</v>
      </c>
      <c r="F17" s="62">
        <f t="shared" si="0"/>
        <v>27210.7</v>
      </c>
      <c r="G17" s="62">
        <v>10000</v>
      </c>
      <c r="H17" s="63">
        <f t="shared" si="1"/>
        <v>581424.7</v>
      </c>
      <c r="I17" s="62">
        <v>0</v>
      </c>
      <c r="J17" s="63">
        <f t="shared" si="6"/>
        <v>591424.7</v>
      </c>
      <c r="K17" s="63">
        <f t="shared" si="2"/>
        <v>591424.7</v>
      </c>
      <c r="L17" s="18">
        <v>1</v>
      </c>
      <c r="M17" s="68">
        <f t="shared" si="7"/>
        <v>0</v>
      </c>
      <c r="N17" s="18">
        <v>1</v>
      </c>
      <c r="O17" s="69">
        <v>45149</v>
      </c>
      <c r="P17" s="70">
        <v>45514</v>
      </c>
      <c r="Q17" s="62" t="str">
        <f t="shared" si="3"/>
        <v>August</v>
      </c>
      <c r="R17" s="78">
        <f t="shared" si="4"/>
        <v>2023</v>
      </c>
      <c r="S17" s="18" t="s">
        <v>29</v>
      </c>
      <c r="T17" s="18"/>
      <c r="U17" s="18"/>
      <c r="V17" s="18"/>
      <c r="W17" s="18"/>
      <c r="X17" s="18"/>
      <c r="Y17" s="18"/>
      <c r="Z17" s="81">
        <f t="shared" si="8"/>
        <v>0</v>
      </c>
      <c r="AA17" t="str">
        <f t="shared" si="5"/>
        <v>Hares</v>
      </c>
    </row>
    <row r="18" ht="16.5" spans="1:27">
      <c r="A18" s="18" t="s">
        <v>51</v>
      </c>
      <c r="B18" s="18" t="s">
        <v>27</v>
      </c>
      <c r="C18" s="62" t="s">
        <v>28</v>
      </c>
      <c r="D18" s="62" t="s">
        <v>28</v>
      </c>
      <c r="E18" s="62">
        <v>13176847</v>
      </c>
      <c r="F18" s="62">
        <f t="shared" si="0"/>
        <v>658842.35</v>
      </c>
      <c r="G18" s="62">
        <v>370000</v>
      </c>
      <c r="H18" s="63">
        <f t="shared" si="1"/>
        <v>14205689.35</v>
      </c>
      <c r="I18" s="62">
        <v>0</v>
      </c>
      <c r="J18" s="63">
        <f t="shared" si="6"/>
        <v>14575689.35</v>
      </c>
      <c r="K18" s="63">
        <f t="shared" si="2"/>
        <v>809760.519444444</v>
      </c>
      <c r="L18" s="18">
        <v>18</v>
      </c>
      <c r="M18" s="68">
        <f t="shared" si="7"/>
        <v>19</v>
      </c>
      <c r="N18" s="18">
        <v>37</v>
      </c>
      <c r="O18" s="69">
        <v>45153</v>
      </c>
      <c r="P18" s="70">
        <v>45518</v>
      </c>
      <c r="Q18" s="62" t="str">
        <f t="shared" si="3"/>
        <v>August</v>
      </c>
      <c r="R18" s="78">
        <f t="shared" si="4"/>
        <v>2023</v>
      </c>
      <c r="S18" s="18" t="s">
        <v>35</v>
      </c>
      <c r="T18" s="18"/>
      <c r="U18" s="18"/>
      <c r="V18" s="18"/>
      <c r="W18" s="18"/>
      <c r="X18" s="18"/>
      <c r="Y18" s="18"/>
      <c r="Z18" s="81">
        <f t="shared" si="8"/>
        <v>1.05555555555556</v>
      </c>
      <c r="AA18" t="str">
        <f t="shared" si="5"/>
        <v>Hares</v>
      </c>
    </row>
    <row r="19" ht="16.5" spans="1:27">
      <c r="A19" s="18" t="s">
        <v>52</v>
      </c>
      <c r="B19" s="18" t="s">
        <v>27</v>
      </c>
      <c r="C19" s="62" t="s">
        <v>28</v>
      </c>
      <c r="D19" s="62" t="s">
        <v>28</v>
      </c>
      <c r="E19" s="62">
        <v>14687764</v>
      </c>
      <c r="F19" s="62">
        <f t="shared" si="0"/>
        <v>734388.2</v>
      </c>
      <c r="G19" s="62">
        <v>450000</v>
      </c>
      <c r="H19" s="63">
        <f t="shared" si="1"/>
        <v>15872152.2</v>
      </c>
      <c r="I19" s="62">
        <v>0</v>
      </c>
      <c r="J19" s="63">
        <f t="shared" si="6"/>
        <v>16322152.2</v>
      </c>
      <c r="K19" s="63">
        <f t="shared" si="2"/>
        <v>777245.342857143</v>
      </c>
      <c r="L19" s="18">
        <v>21</v>
      </c>
      <c r="M19" s="68">
        <f t="shared" si="7"/>
        <v>24</v>
      </c>
      <c r="N19" s="18">
        <v>45</v>
      </c>
      <c r="O19" s="69">
        <v>45170</v>
      </c>
      <c r="P19" s="70">
        <v>45535</v>
      </c>
      <c r="Q19" s="62" t="str">
        <f t="shared" si="3"/>
        <v>September</v>
      </c>
      <c r="R19" s="78">
        <f t="shared" si="4"/>
        <v>2023</v>
      </c>
      <c r="S19" s="18" t="s">
        <v>41</v>
      </c>
      <c r="T19" s="18"/>
      <c r="U19" s="18"/>
      <c r="V19" s="18"/>
      <c r="W19" s="18"/>
      <c r="X19" s="18"/>
      <c r="Y19" s="18"/>
      <c r="Z19" s="81">
        <f t="shared" si="8"/>
        <v>1.14285714285714</v>
      </c>
      <c r="AA19" t="str">
        <f t="shared" si="5"/>
        <v>Hares</v>
      </c>
    </row>
    <row r="20" ht="16.5" spans="1:27">
      <c r="A20" s="18" t="s">
        <v>53</v>
      </c>
      <c r="B20" s="18" t="s">
        <v>27</v>
      </c>
      <c r="C20" s="62" t="s">
        <v>28</v>
      </c>
      <c r="D20" s="62" t="s">
        <v>28</v>
      </c>
      <c r="E20" s="62">
        <v>2669709</v>
      </c>
      <c r="F20" s="62">
        <f t="shared" si="0"/>
        <v>133485.45</v>
      </c>
      <c r="G20" s="62">
        <v>70000</v>
      </c>
      <c r="H20" s="63">
        <f t="shared" si="1"/>
        <v>2873194.45</v>
      </c>
      <c r="I20" s="62">
        <v>0</v>
      </c>
      <c r="J20" s="63">
        <f t="shared" si="6"/>
        <v>2943194.45</v>
      </c>
      <c r="K20" s="63">
        <f t="shared" si="2"/>
        <v>735798.6125</v>
      </c>
      <c r="L20" s="18">
        <v>4</v>
      </c>
      <c r="M20" s="68">
        <f t="shared" si="7"/>
        <v>3</v>
      </c>
      <c r="N20" s="18">
        <v>7</v>
      </c>
      <c r="O20" s="69">
        <v>45170</v>
      </c>
      <c r="P20" s="70">
        <v>45535</v>
      </c>
      <c r="Q20" s="62" t="str">
        <f t="shared" si="3"/>
        <v>September</v>
      </c>
      <c r="R20" s="78">
        <f t="shared" si="4"/>
        <v>2023</v>
      </c>
      <c r="S20" s="18" t="s">
        <v>29</v>
      </c>
      <c r="T20" s="18"/>
      <c r="U20" s="18"/>
      <c r="V20" s="18"/>
      <c r="W20" s="18"/>
      <c r="X20" s="18"/>
      <c r="Y20" s="18"/>
      <c r="Z20" s="81">
        <f t="shared" si="8"/>
        <v>0.75</v>
      </c>
      <c r="AA20" t="str">
        <f t="shared" si="5"/>
        <v>Hares</v>
      </c>
    </row>
    <row r="21" ht="16.5" spans="1:27">
      <c r="A21" s="18" t="s">
        <v>54</v>
      </c>
      <c r="B21" s="18" t="s">
        <v>27</v>
      </c>
      <c r="C21" s="62" t="s">
        <v>28</v>
      </c>
      <c r="D21" s="62" t="s">
        <v>28</v>
      </c>
      <c r="E21" s="62">
        <f>16805892+305552290</f>
        <v>322358182</v>
      </c>
      <c r="F21" s="62">
        <f t="shared" si="0"/>
        <v>16117909.1</v>
      </c>
      <c r="G21" s="62">
        <f>2000000+320000</f>
        <v>2320000</v>
      </c>
      <c r="H21" s="63">
        <f t="shared" si="1"/>
        <v>340796091.1</v>
      </c>
      <c r="I21" s="62">
        <v>0</v>
      </c>
      <c r="J21" s="63">
        <f t="shared" si="6"/>
        <v>343116091.1</v>
      </c>
      <c r="K21" s="63">
        <f t="shared" si="2"/>
        <v>369737.167133621</v>
      </c>
      <c r="L21" s="18">
        <v>928</v>
      </c>
      <c r="M21" s="68">
        <f t="shared" si="7"/>
        <v>0</v>
      </c>
      <c r="N21" s="18">
        <v>928</v>
      </c>
      <c r="O21" s="69">
        <v>45170</v>
      </c>
      <c r="P21" s="70">
        <v>45535</v>
      </c>
      <c r="Q21" s="62" t="str">
        <f t="shared" si="3"/>
        <v>September</v>
      </c>
      <c r="R21" s="78">
        <f t="shared" si="4"/>
        <v>2023</v>
      </c>
      <c r="S21" s="18" t="s">
        <v>29</v>
      </c>
      <c r="T21" s="18"/>
      <c r="U21" s="18"/>
      <c r="V21" s="18"/>
      <c r="W21" s="18"/>
      <c r="X21" s="18"/>
      <c r="Y21" s="18"/>
      <c r="Z21" s="81">
        <f t="shared" si="8"/>
        <v>0</v>
      </c>
      <c r="AA21" t="str">
        <f t="shared" si="5"/>
        <v>Whales</v>
      </c>
    </row>
    <row r="22" ht="15.75" customHeight="1" spans="1:27">
      <c r="A22" s="18" t="s">
        <v>55</v>
      </c>
      <c r="B22" s="18" t="s">
        <v>27</v>
      </c>
      <c r="C22" s="62" t="s">
        <v>28</v>
      </c>
      <c r="D22" s="62" t="s">
        <v>28</v>
      </c>
      <c r="E22" s="62">
        <v>2763650</v>
      </c>
      <c r="F22" s="62">
        <f t="shared" si="0"/>
        <v>138182.5</v>
      </c>
      <c r="G22" s="62">
        <v>170000</v>
      </c>
      <c r="H22" s="63">
        <f t="shared" si="1"/>
        <v>3071832.5</v>
      </c>
      <c r="I22" s="62">
        <v>0</v>
      </c>
      <c r="J22" s="63">
        <f t="shared" si="6"/>
        <v>3241832.5</v>
      </c>
      <c r="K22" s="63">
        <f t="shared" si="2"/>
        <v>360203.611111111</v>
      </c>
      <c r="L22" s="18">
        <v>9</v>
      </c>
      <c r="M22" s="68">
        <f t="shared" si="7"/>
        <v>8</v>
      </c>
      <c r="N22" s="18">
        <v>17</v>
      </c>
      <c r="O22" s="69">
        <v>45194</v>
      </c>
      <c r="P22" s="70">
        <v>45559</v>
      </c>
      <c r="Q22" s="62" t="str">
        <f t="shared" si="3"/>
        <v>September</v>
      </c>
      <c r="R22" s="78">
        <f t="shared" si="4"/>
        <v>2023</v>
      </c>
      <c r="S22" s="18" t="s">
        <v>29</v>
      </c>
      <c r="T22" s="18"/>
      <c r="U22" s="18"/>
      <c r="V22" s="18"/>
      <c r="W22" s="18"/>
      <c r="X22" s="18"/>
      <c r="Y22" s="18"/>
      <c r="Z22" s="81">
        <f t="shared" si="8"/>
        <v>0.888888888888889</v>
      </c>
      <c r="AA22" t="str">
        <f t="shared" si="5"/>
        <v>Hares</v>
      </c>
    </row>
    <row r="23" ht="15.75" customHeight="1" spans="1:27">
      <c r="A23" s="18" t="s">
        <v>56</v>
      </c>
      <c r="B23" s="18" t="s">
        <v>27</v>
      </c>
      <c r="C23" s="62" t="s">
        <v>28</v>
      </c>
      <c r="D23" s="62" t="s">
        <v>28</v>
      </c>
      <c r="E23" s="62">
        <v>150324600</v>
      </c>
      <c r="F23" s="62">
        <f t="shared" si="0"/>
        <v>7516230</v>
      </c>
      <c r="G23" s="62">
        <v>1434000</v>
      </c>
      <c r="H23" s="63">
        <f t="shared" si="1"/>
        <v>159274830</v>
      </c>
      <c r="I23" s="62">
        <v>0</v>
      </c>
      <c r="J23" s="63">
        <f t="shared" si="6"/>
        <v>160708830</v>
      </c>
      <c r="K23" s="63">
        <f t="shared" si="2"/>
        <v>406857.797468354</v>
      </c>
      <c r="L23" s="18">
        <v>395</v>
      </c>
      <c r="M23" s="68">
        <v>395</v>
      </c>
      <c r="N23" s="18">
        <f>395+80</f>
        <v>475</v>
      </c>
      <c r="O23" s="69">
        <v>45204</v>
      </c>
      <c r="P23" s="70">
        <v>45569</v>
      </c>
      <c r="Q23" s="62" t="str">
        <f t="shared" si="3"/>
        <v>October</v>
      </c>
      <c r="R23" s="78">
        <f t="shared" si="4"/>
        <v>2023</v>
      </c>
      <c r="S23" s="18" t="s">
        <v>29</v>
      </c>
      <c r="T23" s="18"/>
      <c r="U23" s="18"/>
      <c r="V23" s="18"/>
      <c r="W23" s="18"/>
      <c r="X23" s="18"/>
      <c r="Y23" s="18"/>
      <c r="Z23" s="81">
        <f t="shared" si="8"/>
        <v>1</v>
      </c>
      <c r="AA23" t="str">
        <f t="shared" si="5"/>
        <v>Elephants</v>
      </c>
    </row>
    <row r="24" ht="15.75" customHeight="1" spans="1:27">
      <c r="A24" s="18" t="s">
        <v>57</v>
      </c>
      <c r="B24" s="18" t="s">
        <v>27</v>
      </c>
      <c r="C24" s="62" t="s">
        <v>28</v>
      </c>
      <c r="D24" s="62" t="s">
        <v>28</v>
      </c>
      <c r="E24" s="63">
        <v>1555168</v>
      </c>
      <c r="F24" s="63">
        <f t="shared" si="0"/>
        <v>77758.4</v>
      </c>
      <c r="G24" s="63">
        <v>30000</v>
      </c>
      <c r="H24" s="63">
        <f t="shared" si="1"/>
        <v>1662926.4</v>
      </c>
      <c r="I24" s="63">
        <v>0</v>
      </c>
      <c r="J24" s="63">
        <f t="shared" si="6"/>
        <v>1692926.4</v>
      </c>
      <c r="K24" s="63">
        <f t="shared" si="2"/>
        <v>1692926.4</v>
      </c>
      <c r="L24" s="18">
        <v>1</v>
      </c>
      <c r="M24" s="68">
        <f t="shared" ref="M24:M29" si="9">N24-L24</f>
        <v>2</v>
      </c>
      <c r="N24" s="18">
        <v>3</v>
      </c>
      <c r="O24" s="69">
        <v>45206</v>
      </c>
      <c r="P24" s="70">
        <v>45571</v>
      </c>
      <c r="Q24" s="62" t="str">
        <f t="shared" si="3"/>
        <v>October</v>
      </c>
      <c r="R24" s="78">
        <f t="shared" si="4"/>
        <v>2023</v>
      </c>
      <c r="S24" s="18" t="s">
        <v>29</v>
      </c>
      <c r="T24" s="18"/>
      <c r="U24" s="18"/>
      <c r="V24" s="18"/>
      <c r="W24" s="18"/>
      <c r="X24" s="18"/>
      <c r="Y24" s="18"/>
      <c r="Z24" s="81">
        <f t="shared" si="8"/>
        <v>2</v>
      </c>
      <c r="AA24" t="str">
        <f t="shared" si="5"/>
        <v>Hares</v>
      </c>
    </row>
    <row r="25" ht="15.75" customHeight="1" spans="1:27">
      <c r="A25" s="18" t="s">
        <v>58</v>
      </c>
      <c r="B25" s="18" t="s">
        <v>27</v>
      </c>
      <c r="C25" s="62" t="s">
        <v>28</v>
      </c>
      <c r="D25" s="62" t="s">
        <v>28</v>
      </c>
      <c r="E25" s="62">
        <v>23189154</v>
      </c>
      <c r="F25" s="62">
        <f t="shared" si="0"/>
        <v>1159457.7</v>
      </c>
      <c r="G25" s="62">
        <v>340000</v>
      </c>
      <c r="H25" s="63">
        <f t="shared" si="1"/>
        <v>24688611.7</v>
      </c>
      <c r="I25" s="62">
        <v>0</v>
      </c>
      <c r="J25" s="63">
        <f t="shared" si="6"/>
        <v>25028611.7</v>
      </c>
      <c r="K25" s="63">
        <f t="shared" si="2"/>
        <v>1251430.585</v>
      </c>
      <c r="L25" s="18">
        <v>20</v>
      </c>
      <c r="M25" s="68">
        <f t="shared" si="9"/>
        <v>48</v>
      </c>
      <c r="N25" s="18">
        <v>68</v>
      </c>
      <c r="O25" s="69">
        <v>45206</v>
      </c>
      <c r="P25" s="70">
        <v>45571</v>
      </c>
      <c r="Q25" s="62" t="str">
        <f t="shared" si="3"/>
        <v>October</v>
      </c>
      <c r="R25" s="78">
        <f t="shared" si="4"/>
        <v>2023</v>
      </c>
      <c r="S25" s="18" t="s">
        <v>41</v>
      </c>
      <c r="T25" s="18"/>
      <c r="U25" s="18"/>
      <c r="V25" s="18"/>
      <c r="W25" s="18"/>
      <c r="X25" s="18"/>
      <c r="Y25" s="18"/>
      <c r="Z25" s="81">
        <f t="shared" si="8"/>
        <v>2.4</v>
      </c>
      <c r="AA25" t="str">
        <f t="shared" si="5"/>
        <v>Hares</v>
      </c>
    </row>
    <row r="26" ht="15.75" customHeight="1" spans="1:27">
      <c r="A26" s="18" t="s">
        <v>59</v>
      </c>
      <c r="B26" s="18" t="s">
        <v>27</v>
      </c>
      <c r="C26" s="62" t="s">
        <v>28</v>
      </c>
      <c r="D26" s="62" t="s">
        <v>28</v>
      </c>
      <c r="E26" s="63">
        <v>1463279</v>
      </c>
      <c r="F26" s="63">
        <f t="shared" si="0"/>
        <v>73163.95</v>
      </c>
      <c r="G26" s="63">
        <v>40000</v>
      </c>
      <c r="H26" s="63">
        <f t="shared" si="1"/>
        <v>1576442.95</v>
      </c>
      <c r="I26" s="63">
        <v>0</v>
      </c>
      <c r="J26" s="63">
        <f t="shared" si="6"/>
        <v>1616442.95</v>
      </c>
      <c r="K26" s="63">
        <f t="shared" si="2"/>
        <v>1616442.95</v>
      </c>
      <c r="L26" s="18">
        <v>1</v>
      </c>
      <c r="M26" s="68">
        <f t="shared" si="9"/>
        <v>3</v>
      </c>
      <c r="N26" s="18">
        <v>4</v>
      </c>
      <c r="O26" s="69">
        <v>45218</v>
      </c>
      <c r="P26" s="70">
        <v>45583</v>
      </c>
      <c r="Q26" s="62" t="str">
        <f t="shared" si="3"/>
        <v>October</v>
      </c>
      <c r="R26" s="78">
        <f t="shared" si="4"/>
        <v>2023</v>
      </c>
      <c r="S26" s="18" t="s">
        <v>29</v>
      </c>
      <c r="T26" s="18"/>
      <c r="U26" s="18"/>
      <c r="V26" s="18"/>
      <c r="W26" s="18"/>
      <c r="X26" s="18"/>
      <c r="Y26" s="18"/>
      <c r="Z26" s="81">
        <f t="shared" si="8"/>
        <v>3</v>
      </c>
      <c r="AA26" t="str">
        <f t="shared" si="5"/>
        <v>Hares</v>
      </c>
    </row>
    <row r="27" ht="15.75" customHeight="1" spans="1:27">
      <c r="A27" s="18" t="s">
        <v>60</v>
      </c>
      <c r="B27" s="18" t="s">
        <v>27</v>
      </c>
      <c r="C27" s="62" t="s">
        <v>28</v>
      </c>
      <c r="D27" s="62" t="s">
        <v>28</v>
      </c>
      <c r="E27" s="63">
        <v>1888962</v>
      </c>
      <c r="F27" s="63">
        <f t="shared" si="0"/>
        <v>94448.1</v>
      </c>
      <c r="G27" s="63">
        <v>50000</v>
      </c>
      <c r="H27" s="63">
        <f t="shared" si="1"/>
        <v>2033410.1</v>
      </c>
      <c r="I27" s="63">
        <v>0</v>
      </c>
      <c r="J27" s="63">
        <f t="shared" si="6"/>
        <v>2083410.1</v>
      </c>
      <c r="K27" s="63">
        <f t="shared" si="2"/>
        <v>694470.033333333</v>
      </c>
      <c r="L27" s="18">
        <v>3</v>
      </c>
      <c r="M27" s="68">
        <f t="shared" si="9"/>
        <v>2</v>
      </c>
      <c r="N27" s="18">
        <v>5</v>
      </c>
      <c r="O27" s="69">
        <v>45223</v>
      </c>
      <c r="P27" s="70">
        <v>45588</v>
      </c>
      <c r="Q27" s="62" t="str">
        <f t="shared" si="3"/>
        <v>October</v>
      </c>
      <c r="R27" s="78">
        <f t="shared" si="4"/>
        <v>2023</v>
      </c>
      <c r="S27" s="18" t="s">
        <v>29</v>
      </c>
      <c r="T27" s="18"/>
      <c r="U27" s="18"/>
      <c r="V27" s="18"/>
      <c r="W27" s="18"/>
      <c r="X27" s="18"/>
      <c r="Y27" s="18"/>
      <c r="Z27" s="81">
        <f t="shared" si="8"/>
        <v>0.666666666666667</v>
      </c>
      <c r="AA27" t="str">
        <f t="shared" si="5"/>
        <v>Hares</v>
      </c>
    </row>
    <row r="28" ht="15.75" customHeight="1" spans="1:27">
      <c r="A28" s="18" t="s">
        <v>61</v>
      </c>
      <c r="B28" s="18" t="s">
        <v>27</v>
      </c>
      <c r="C28" s="62" t="s">
        <v>28</v>
      </c>
      <c r="D28" s="62" t="s">
        <v>28</v>
      </c>
      <c r="E28" s="63">
        <v>2468070</v>
      </c>
      <c r="F28" s="63">
        <f t="shared" si="0"/>
        <v>123403.5</v>
      </c>
      <c r="G28" s="63">
        <v>70000</v>
      </c>
      <c r="H28" s="63">
        <f t="shared" si="1"/>
        <v>2661473.5</v>
      </c>
      <c r="I28" s="63">
        <v>0</v>
      </c>
      <c r="J28" s="63">
        <f t="shared" si="6"/>
        <v>2731473.5</v>
      </c>
      <c r="K28" s="63">
        <f t="shared" si="2"/>
        <v>546294.7</v>
      </c>
      <c r="L28" s="18">
        <v>5</v>
      </c>
      <c r="M28" s="68">
        <f t="shared" si="9"/>
        <v>2</v>
      </c>
      <c r="N28" s="18">
        <v>7</v>
      </c>
      <c r="O28" s="69">
        <v>45224</v>
      </c>
      <c r="P28" s="70">
        <v>45589</v>
      </c>
      <c r="Q28" s="62" t="str">
        <f t="shared" si="3"/>
        <v>October</v>
      </c>
      <c r="R28" s="78">
        <f t="shared" si="4"/>
        <v>2023</v>
      </c>
      <c r="S28" s="18" t="s">
        <v>29</v>
      </c>
      <c r="T28" s="18"/>
      <c r="U28" s="18"/>
      <c r="V28" s="18"/>
      <c r="W28" s="18"/>
      <c r="X28" s="18"/>
      <c r="Y28" s="18"/>
      <c r="Z28" s="81">
        <f t="shared" si="8"/>
        <v>0.4</v>
      </c>
      <c r="AA28" t="str">
        <f t="shared" si="5"/>
        <v>Hares</v>
      </c>
    </row>
    <row r="29" ht="15.75" customHeight="1" spans="1:27">
      <c r="A29" s="18" t="s">
        <v>62</v>
      </c>
      <c r="B29" s="18" t="s">
        <v>27</v>
      </c>
      <c r="C29" s="62" t="s">
        <v>28</v>
      </c>
      <c r="D29" s="62" t="s">
        <v>28</v>
      </c>
      <c r="E29" s="63">
        <v>4823725</v>
      </c>
      <c r="F29" s="63">
        <f t="shared" si="0"/>
        <v>241186.25</v>
      </c>
      <c r="G29" s="63">
        <v>140000</v>
      </c>
      <c r="H29" s="63">
        <f t="shared" si="1"/>
        <v>5204911.25</v>
      </c>
      <c r="I29" s="63">
        <v>0</v>
      </c>
      <c r="J29" s="63">
        <f t="shared" si="6"/>
        <v>5344911.25</v>
      </c>
      <c r="K29" s="63">
        <f t="shared" si="2"/>
        <v>1336227.8125</v>
      </c>
      <c r="L29" s="18">
        <v>4</v>
      </c>
      <c r="M29" s="68">
        <f t="shared" si="9"/>
        <v>10</v>
      </c>
      <c r="N29" s="18">
        <v>14</v>
      </c>
      <c r="O29" s="69">
        <v>45230</v>
      </c>
      <c r="P29" s="70">
        <v>45595</v>
      </c>
      <c r="Q29" s="62" t="str">
        <f t="shared" si="3"/>
        <v>October</v>
      </c>
      <c r="R29" s="78">
        <f t="shared" si="4"/>
        <v>2023</v>
      </c>
      <c r="S29" s="18" t="s">
        <v>35</v>
      </c>
      <c r="T29" s="18"/>
      <c r="U29" s="18"/>
      <c r="V29" s="18"/>
      <c r="W29" s="18"/>
      <c r="X29" s="18"/>
      <c r="Y29" s="18"/>
      <c r="Z29" s="81">
        <f t="shared" si="8"/>
        <v>2.5</v>
      </c>
      <c r="AA29" t="str">
        <f t="shared" si="5"/>
        <v>Hares</v>
      </c>
    </row>
    <row r="30" ht="15.75" customHeight="1" spans="1:27">
      <c r="A30" s="18" t="s">
        <v>63</v>
      </c>
      <c r="B30" s="18" t="s">
        <v>27</v>
      </c>
      <c r="C30" s="62" t="s">
        <v>28</v>
      </c>
      <c r="D30" s="62" t="s">
        <v>28</v>
      </c>
      <c r="E30" s="63">
        <v>464822</v>
      </c>
      <c r="F30" s="63">
        <f t="shared" si="0"/>
        <v>23241.1</v>
      </c>
      <c r="G30" s="63">
        <v>10000</v>
      </c>
      <c r="H30" s="63">
        <f t="shared" si="1"/>
        <v>498063.1</v>
      </c>
      <c r="I30" s="63">
        <v>0</v>
      </c>
      <c r="J30" s="63">
        <f t="shared" si="6"/>
        <v>508063.1</v>
      </c>
      <c r="K30" s="71">
        <f t="shared" si="2"/>
        <v>508063.1</v>
      </c>
      <c r="L30" s="18">
        <v>1</v>
      </c>
      <c r="M30" s="68">
        <v>0</v>
      </c>
      <c r="N30" s="18">
        <v>1</v>
      </c>
      <c r="O30" s="69">
        <v>45244</v>
      </c>
      <c r="P30" s="70">
        <v>45243</v>
      </c>
      <c r="Q30" s="62" t="str">
        <f t="shared" si="3"/>
        <v>November</v>
      </c>
      <c r="R30" s="78">
        <f t="shared" si="4"/>
        <v>2023</v>
      </c>
      <c r="S30" s="18" t="s">
        <v>29</v>
      </c>
      <c r="T30" s="18"/>
      <c r="U30" s="18"/>
      <c r="V30" s="18"/>
      <c r="W30" s="18"/>
      <c r="X30" s="18"/>
      <c r="Y30" s="18"/>
      <c r="Z30" s="81">
        <f t="shared" si="8"/>
        <v>0</v>
      </c>
      <c r="AA30" t="str">
        <f t="shared" si="5"/>
        <v>Hares</v>
      </c>
    </row>
    <row r="31" ht="15.75" customHeight="1" spans="1:27">
      <c r="A31" s="18" t="s">
        <v>64</v>
      </c>
      <c r="B31" s="18" t="s">
        <v>27</v>
      </c>
      <c r="C31" s="62" t="s">
        <v>28</v>
      </c>
      <c r="D31" s="62" t="s">
        <v>28</v>
      </c>
      <c r="E31" s="63">
        <f>10019094+2178144</f>
        <v>12197238</v>
      </c>
      <c r="F31" s="63">
        <f t="shared" si="0"/>
        <v>609861.9</v>
      </c>
      <c r="G31" s="63">
        <f>60000+280000</f>
        <v>340000</v>
      </c>
      <c r="H31" s="63">
        <f t="shared" si="1"/>
        <v>13147099.9</v>
      </c>
      <c r="I31" s="63">
        <v>0</v>
      </c>
      <c r="J31" s="63">
        <f t="shared" si="6"/>
        <v>13487099.9</v>
      </c>
      <c r="K31" s="63">
        <f t="shared" si="2"/>
        <v>899139.993333333</v>
      </c>
      <c r="L31" s="18">
        <v>15</v>
      </c>
      <c r="M31" s="68">
        <v>19</v>
      </c>
      <c r="N31" s="18">
        <f>SUM(L31:M31)</f>
        <v>34</v>
      </c>
      <c r="O31" s="69">
        <v>45246</v>
      </c>
      <c r="P31" s="70">
        <v>45245</v>
      </c>
      <c r="Q31" s="62" t="str">
        <f t="shared" si="3"/>
        <v>November</v>
      </c>
      <c r="R31" s="78">
        <f t="shared" si="4"/>
        <v>2023</v>
      </c>
      <c r="S31" s="18" t="s">
        <v>29</v>
      </c>
      <c r="T31" s="18"/>
      <c r="U31" s="18"/>
      <c r="V31" s="18"/>
      <c r="W31" s="18"/>
      <c r="X31" s="18"/>
      <c r="Y31" s="18"/>
      <c r="Z31" s="81">
        <f t="shared" si="8"/>
        <v>1.26666666666667</v>
      </c>
      <c r="AA31" t="str">
        <f t="shared" si="5"/>
        <v>Hares</v>
      </c>
    </row>
    <row r="32" ht="15.75" customHeight="1" spans="1:27">
      <c r="A32" s="18" t="s">
        <v>65</v>
      </c>
      <c r="B32" s="18" t="s">
        <v>27</v>
      </c>
      <c r="C32" s="62" t="s">
        <v>28</v>
      </c>
      <c r="D32" s="62" t="s">
        <v>28</v>
      </c>
      <c r="E32" s="63">
        <v>1150690</v>
      </c>
      <c r="F32" s="63">
        <f t="shared" si="0"/>
        <v>57534.5</v>
      </c>
      <c r="G32" s="63">
        <v>30000</v>
      </c>
      <c r="H32" s="63">
        <f t="shared" si="1"/>
        <v>1238224.5</v>
      </c>
      <c r="I32" s="63">
        <v>0</v>
      </c>
      <c r="J32" s="63">
        <f t="shared" si="6"/>
        <v>1268224.5</v>
      </c>
      <c r="K32" s="63">
        <f t="shared" si="2"/>
        <v>1268224.5</v>
      </c>
      <c r="L32" s="18">
        <v>1</v>
      </c>
      <c r="M32" s="68">
        <v>2</v>
      </c>
      <c r="N32" s="18">
        <v>3</v>
      </c>
      <c r="O32" s="69">
        <v>45247</v>
      </c>
      <c r="P32" s="70">
        <v>45246</v>
      </c>
      <c r="Q32" s="62" t="str">
        <f t="shared" si="3"/>
        <v>November</v>
      </c>
      <c r="R32" s="78">
        <f t="shared" si="4"/>
        <v>2023</v>
      </c>
      <c r="S32" s="18" t="s">
        <v>29</v>
      </c>
      <c r="T32" s="18"/>
      <c r="U32" s="18"/>
      <c r="V32" s="18"/>
      <c r="W32" s="18"/>
      <c r="X32" s="18"/>
      <c r="Y32" s="18"/>
      <c r="Z32" s="81">
        <f t="shared" si="8"/>
        <v>2</v>
      </c>
      <c r="AA32" t="str">
        <f t="shared" si="5"/>
        <v>Hares</v>
      </c>
    </row>
    <row r="33" ht="15.75" customHeight="1" spans="1:27">
      <c r="A33" s="18" t="s">
        <v>66</v>
      </c>
      <c r="B33" s="18" t="s">
        <v>27</v>
      </c>
      <c r="C33" s="62" t="s">
        <v>28</v>
      </c>
      <c r="D33" s="62" t="s">
        <v>28</v>
      </c>
      <c r="E33" s="63">
        <v>620086</v>
      </c>
      <c r="F33" s="63">
        <f t="shared" si="0"/>
        <v>31004.3</v>
      </c>
      <c r="G33" s="63">
        <v>10000</v>
      </c>
      <c r="H33" s="63">
        <f t="shared" si="1"/>
        <v>661090.3</v>
      </c>
      <c r="I33" s="63">
        <v>0</v>
      </c>
      <c r="J33" s="63">
        <f t="shared" si="6"/>
        <v>671090.3</v>
      </c>
      <c r="K33" s="63">
        <f t="shared" si="2"/>
        <v>671090.3</v>
      </c>
      <c r="L33" s="18">
        <v>1</v>
      </c>
      <c r="M33" s="68">
        <v>0</v>
      </c>
      <c r="N33" s="18">
        <v>1</v>
      </c>
      <c r="O33" s="69">
        <v>45254</v>
      </c>
      <c r="P33" s="70">
        <v>45253</v>
      </c>
      <c r="Q33" s="62" t="str">
        <f t="shared" si="3"/>
        <v>November</v>
      </c>
      <c r="R33" s="78">
        <f t="shared" si="4"/>
        <v>2023</v>
      </c>
      <c r="S33" s="18" t="s">
        <v>29</v>
      </c>
      <c r="T33" s="18"/>
      <c r="U33" s="18"/>
      <c r="V33" s="18"/>
      <c r="W33" s="18"/>
      <c r="X33" s="18"/>
      <c r="Y33" s="18"/>
      <c r="Z33" s="81">
        <f t="shared" si="8"/>
        <v>0</v>
      </c>
      <c r="AA33" t="str">
        <f t="shared" si="5"/>
        <v>Hares</v>
      </c>
    </row>
    <row r="34" ht="15.75" customHeight="1" spans="1:27">
      <c r="A34" s="18" t="s">
        <v>67</v>
      </c>
      <c r="B34" s="18" t="s">
        <v>27</v>
      </c>
      <c r="C34" s="62" t="s">
        <v>28</v>
      </c>
      <c r="D34" s="62" t="s">
        <v>28</v>
      </c>
      <c r="E34" s="63">
        <f>2732418+1515425</f>
        <v>4247843</v>
      </c>
      <c r="F34" s="63">
        <f t="shared" si="0"/>
        <v>212392.15</v>
      </c>
      <c r="G34" s="63">
        <f>60000+70000</f>
        <v>130000</v>
      </c>
      <c r="H34" s="63">
        <f t="shared" si="1"/>
        <v>4590235.15</v>
      </c>
      <c r="I34" s="63">
        <v>0</v>
      </c>
      <c r="J34" s="63">
        <f t="shared" si="6"/>
        <v>4720235.15</v>
      </c>
      <c r="K34" s="63">
        <f t="shared" si="2"/>
        <v>944047.03</v>
      </c>
      <c r="L34" s="18">
        <v>5</v>
      </c>
      <c r="M34" s="68">
        <v>8</v>
      </c>
      <c r="N34" s="18">
        <f>13</f>
        <v>13</v>
      </c>
      <c r="O34" s="69">
        <v>45272</v>
      </c>
      <c r="P34" s="70">
        <v>45271</v>
      </c>
      <c r="Q34" s="62" t="str">
        <f t="shared" si="3"/>
        <v>December</v>
      </c>
      <c r="R34" s="78">
        <f t="shared" si="4"/>
        <v>2023</v>
      </c>
      <c r="S34" s="18" t="s">
        <v>29</v>
      </c>
      <c r="T34" s="18"/>
      <c r="U34" s="18"/>
      <c r="V34" s="18"/>
      <c r="W34" s="18"/>
      <c r="X34" s="18"/>
      <c r="Y34" s="18"/>
      <c r="Z34" s="81">
        <f t="shared" si="8"/>
        <v>1.6</v>
      </c>
      <c r="AA34" t="str">
        <f t="shared" si="5"/>
        <v>Hares</v>
      </c>
    </row>
    <row r="35" ht="15.75" customHeight="1" spans="1:27">
      <c r="A35" s="18" t="s">
        <v>68</v>
      </c>
      <c r="B35" s="18" t="s">
        <v>27</v>
      </c>
      <c r="C35" s="62" t="s">
        <v>28</v>
      </c>
      <c r="D35" s="62" t="s">
        <v>28</v>
      </c>
      <c r="E35" s="63">
        <v>457803</v>
      </c>
      <c r="F35" s="63">
        <f t="shared" si="0"/>
        <v>22890.15</v>
      </c>
      <c r="G35" s="63">
        <v>10000</v>
      </c>
      <c r="H35" s="63">
        <f t="shared" si="1"/>
        <v>490693.15</v>
      </c>
      <c r="I35" s="63">
        <v>0</v>
      </c>
      <c r="J35" s="63">
        <f t="shared" si="6"/>
        <v>500693.15</v>
      </c>
      <c r="K35" s="63">
        <f t="shared" si="2"/>
        <v>500693.15</v>
      </c>
      <c r="L35" s="18">
        <v>1</v>
      </c>
      <c r="M35" s="68">
        <v>0</v>
      </c>
      <c r="N35" s="18">
        <v>1</v>
      </c>
      <c r="O35" s="69">
        <v>45273</v>
      </c>
      <c r="P35" s="70">
        <v>45272</v>
      </c>
      <c r="Q35" s="62" t="str">
        <f t="shared" si="3"/>
        <v>December</v>
      </c>
      <c r="R35" s="78">
        <f t="shared" si="4"/>
        <v>2023</v>
      </c>
      <c r="S35" s="18" t="s">
        <v>29</v>
      </c>
      <c r="T35" s="18"/>
      <c r="U35" s="18"/>
      <c r="V35" s="18"/>
      <c r="W35" s="18"/>
      <c r="X35" s="18"/>
      <c r="Y35" s="18"/>
      <c r="Z35" s="81">
        <f t="shared" si="8"/>
        <v>0</v>
      </c>
      <c r="AA35" t="str">
        <f t="shared" si="5"/>
        <v>Hares</v>
      </c>
    </row>
    <row r="36" ht="15.75" customHeight="1" spans="1:27">
      <c r="A36" s="18" t="s">
        <v>69</v>
      </c>
      <c r="B36" s="18" t="s">
        <v>27</v>
      </c>
      <c r="C36" s="62" t="s">
        <v>28</v>
      </c>
      <c r="D36" s="62" t="s">
        <v>28</v>
      </c>
      <c r="E36" s="63">
        <v>15702822</v>
      </c>
      <c r="F36" s="63">
        <f t="shared" si="0"/>
        <v>785141.1</v>
      </c>
      <c r="G36" s="63">
        <v>300000</v>
      </c>
      <c r="H36" s="63">
        <f t="shared" si="1"/>
        <v>16787963.1</v>
      </c>
      <c r="I36" s="63">
        <v>0</v>
      </c>
      <c r="J36" s="63">
        <f t="shared" si="6"/>
        <v>17087963.1</v>
      </c>
      <c r="K36" s="63">
        <f t="shared" si="2"/>
        <v>1553451.19090909</v>
      </c>
      <c r="L36" s="18">
        <v>11</v>
      </c>
      <c r="M36" s="68">
        <v>19</v>
      </c>
      <c r="N36" s="18">
        <f>L36+M36</f>
        <v>30</v>
      </c>
      <c r="O36" s="69">
        <v>45287</v>
      </c>
      <c r="P36" s="70">
        <v>45286</v>
      </c>
      <c r="Q36" s="62" t="str">
        <f t="shared" si="3"/>
        <v>December</v>
      </c>
      <c r="R36" s="78">
        <f t="shared" si="4"/>
        <v>2023</v>
      </c>
      <c r="S36" s="18" t="s">
        <v>35</v>
      </c>
      <c r="T36" s="18"/>
      <c r="U36" s="18"/>
      <c r="V36" s="18"/>
      <c r="W36" s="18"/>
      <c r="X36" s="18"/>
      <c r="Y36" s="18"/>
      <c r="Z36" s="81">
        <f t="shared" si="8"/>
        <v>1.72727272727273</v>
      </c>
      <c r="AA36" t="str">
        <f t="shared" si="5"/>
        <v>Hares</v>
      </c>
    </row>
    <row r="37" ht="15.75" customHeight="1" spans="1:27">
      <c r="A37" s="18" t="s">
        <v>70</v>
      </c>
      <c r="B37" s="18" t="s">
        <v>27</v>
      </c>
      <c r="C37" s="60" t="s">
        <v>71</v>
      </c>
      <c r="D37" s="60" t="s">
        <v>71</v>
      </c>
      <c r="E37" s="64"/>
      <c r="F37" s="64"/>
      <c r="G37" s="64"/>
      <c r="H37" s="64"/>
      <c r="I37" s="64"/>
      <c r="J37" s="72">
        <v>4284439</v>
      </c>
      <c r="K37" s="61">
        <f t="shared" si="2"/>
        <v>225496.789473684</v>
      </c>
      <c r="L37" s="73">
        <v>19</v>
      </c>
      <c r="M37" s="68">
        <v>0</v>
      </c>
      <c r="N37" s="73">
        <v>19</v>
      </c>
      <c r="O37" s="74">
        <v>45292</v>
      </c>
      <c r="P37" s="18" t="s">
        <v>72</v>
      </c>
      <c r="Q37" s="18" t="str">
        <f t="shared" si="3"/>
        <v>January</v>
      </c>
      <c r="R37" s="18">
        <f t="shared" si="4"/>
        <v>2024</v>
      </c>
      <c r="S37" s="18" t="s">
        <v>41</v>
      </c>
      <c r="T37" s="18" t="s">
        <v>73</v>
      </c>
      <c r="U37" s="18"/>
      <c r="V37" s="18"/>
      <c r="W37" s="75">
        <v>45261</v>
      </c>
      <c r="X37" s="18"/>
      <c r="Y37" s="18"/>
      <c r="Z37" s="64">
        <f t="shared" ref="Z37:Z100" si="10">ROUND(M37/L37,2)</f>
        <v>0</v>
      </c>
      <c r="AA37" t="str">
        <f t="shared" si="5"/>
        <v>Hares</v>
      </c>
    </row>
    <row r="38" ht="15.75" customHeight="1" spans="1:27">
      <c r="A38" s="18" t="s">
        <v>74</v>
      </c>
      <c r="B38" s="18" t="s">
        <v>27</v>
      </c>
      <c r="C38" s="60" t="s">
        <v>28</v>
      </c>
      <c r="D38" s="60" t="s">
        <v>28</v>
      </c>
      <c r="E38" s="61">
        <v>1405258</v>
      </c>
      <c r="F38" s="61">
        <f t="shared" ref="F38:F43" si="11">E38*5%</f>
        <v>70262.9</v>
      </c>
      <c r="G38" s="61">
        <v>30000</v>
      </c>
      <c r="H38" s="61">
        <f t="shared" ref="H38:H43" si="12">SUM(E38:G38)</f>
        <v>1505520.9</v>
      </c>
      <c r="I38" s="61">
        <v>0</v>
      </c>
      <c r="J38" s="61">
        <f t="shared" ref="J38:J43" si="13">SUM(H38:I38)</f>
        <v>1505520.9</v>
      </c>
      <c r="K38" s="61">
        <f t="shared" si="2"/>
        <v>501840.3</v>
      </c>
      <c r="L38" s="18">
        <v>3</v>
      </c>
      <c r="M38" s="68">
        <v>0</v>
      </c>
      <c r="N38" s="18">
        <v>3</v>
      </c>
      <c r="O38" s="69">
        <v>45292</v>
      </c>
      <c r="P38" s="70" t="s">
        <v>75</v>
      </c>
      <c r="Q38" s="18" t="str">
        <f t="shared" si="3"/>
        <v>January</v>
      </c>
      <c r="R38" s="18">
        <f t="shared" si="4"/>
        <v>2024</v>
      </c>
      <c r="S38" s="18" t="s">
        <v>29</v>
      </c>
      <c r="T38" s="18" t="s">
        <v>29</v>
      </c>
      <c r="U38" s="18"/>
      <c r="V38" s="18"/>
      <c r="W38" s="77">
        <v>45229</v>
      </c>
      <c r="X38" s="18">
        <f ca="1" t="shared" ref="X38:X43" si="14">TODAY()-O38</f>
        <v>302</v>
      </c>
      <c r="Y38" s="18">
        <f t="shared" ref="Y38:Y43" si="15">O38-W38</f>
        <v>63</v>
      </c>
      <c r="Z38" s="64">
        <f t="shared" si="10"/>
        <v>0</v>
      </c>
      <c r="AA38" t="str">
        <f t="shared" si="5"/>
        <v>Hares</v>
      </c>
    </row>
    <row r="39" ht="15.75" customHeight="1" spans="1:27">
      <c r="A39" s="18" t="s">
        <v>76</v>
      </c>
      <c r="B39" s="18" t="s">
        <v>27</v>
      </c>
      <c r="C39" s="60" t="s">
        <v>28</v>
      </c>
      <c r="D39" s="60" t="s">
        <v>28</v>
      </c>
      <c r="E39" s="61">
        <v>1699519</v>
      </c>
      <c r="F39" s="61">
        <f t="shared" si="11"/>
        <v>84975.95</v>
      </c>
      <c r="G39" s="61">
        <v>40000</v>
      </c>
      <c r="H39" s="61">
        <f t="shared" si="12"/>
        <v>1824494.95</v>
      </c>
      <c r="I39" s="61">
        <v>0</v>
      </c>
      <c r="J39" s="61">
        <f t="shared" si="13"/>
        <v>1824494.95</v>
      </c>
      <c r="K39" s="61">
        <f t="shared" si="2"/>
        <v>1824494.95</v>
      </c>
      <c r="L39" s="18">
        <v>1</v>
      </c>
      <c r="M39" s="68">
        <v>3</v>
      </c>
      <c r="N39" s="18">
        <f>SUM(L39:M39)</f>
        <v>4</v>
      </c>
      <c r="O39" s="69">
        <v>45301</v>
      </c>
      <c r="P39" s="70">
        <v>45666</v>
      </c>
      <c r="Q39" s="18" t="str">
        <f t="shared" si="3"/>
        <v>January</v>
      </c>
      <c r="R39" s="18">
        <f t="shared" si="4"/>
        <v>2024</v>
      </c>
      <c r="S39" s="18" t="s">
        <v>29</v>
      </c>
      <c r="T39" s="18" t="s">
        <v>29</v>
      </c>
      <c r="U39" s="18"/>
      <c r="V39" s="18"/>
      <c r="W39" s="77">
        <v>45273</v>
      </c>
      <c r="X39" s="18">
        <f ca="1" t="shared" si="14"/>
        <v>293</v>
      </c>
      <c r="Y39" s="18">
        <f t="shared" si="15"/>
        <v>28</v>
      </c>
      <c r="Z39" s="64">
        <f t="shared" si="10"/>
        <v>3</v>
      </c>
      <c r="AA39" t="str">
        <f t="shared" si="5"/>
        <v>Hares</v>
      </c>
    </row>
    <row r="40" ht="15.75" customHeight="1" spans="1:27">
      <c r="A40" s="18" t="s">
        <v>77</v>
      </c>
      <c r="B40" s="18" t="s">
        <v>27</v>
      </c>
      <c r="C40" s="60" t="s">
        <v>28</v>
      </c>
      <c r="D40" s="60" t="s">
        <v>28</v>
      </c>
      <c r="E40" s="61">
        <f>943648+3328599</f>
        <v>4272247</v>
      </c>
      <c r="F40" s="61">
        <f t="shared" si="11"/>
        <v>213612.35</v>
      </c>
      <c r="G40" s="61">
        <v>140000</v>
      </c>
      <c r="H40" s="61">
        <f t="shared" si="12"/>
        <v>4625859.35</v>
      </c>
      <c r="I40" s="61">
        <v>0</v>
      </c>
      <c r="J40" s="61">
        <f t="shared" si="13"/>
        <v>4625859.35</v>
      </c>
      <c r="K40" s="61">
        <f t="shared" si="2"/>
        <v>578232.41875</v>
      </c>
      <c r="L40" s="18">
        <v>8</v>
      </c>
      <c r="M40" s="68">
        <v>2</v>
      </c>
      <c r="N40" s="18">
        <f>SUM(L40:M40)</f>
        <v>10</v>
      </c>
      <c r="O40" s="69">
        <v>45301</v>
      </c>
      <c r="P40" s="70">
        <v>45666</v>
      </c>
      <c r="Q40" s="18" t="str">
        <f t="shared" si="3"/>
        <v>January</v>
      </c>
      <c r="R40" s="18">
        <f t="shared" si="4"/>
        <v>2024</v>
      </c>
      <c r="S40" s="18" t="s">
        <v>29</v>
      </c>
      <c r="T40" s="18" t="s">
        <v>29</v>
      </c>
      <c r="U40" s="18"/>
      <c r="V40" s="18"/>
      <c r="W40" s="77">
        <v>45280</v>
      </c>
      <c r="X40" s="18">
        <f ca="1" t="shared" si="14"/>
        <v>293</v>
      </c>
      <c r="Y40" s="18">
        <f t="shared" si="15"/>
        <v>21</v>
      </c>
      <c r="Z40" s="64">
        <f t="shared" si="10"/>
        <v>0.25</v>
      </c>
      <c r="AA40" t="str">
        <f t="shared" si="5"/>
        <v>Hares</v>
      </c>
    </row>
    <row r="41" ht="15.75" customHeight="1" spans="1:31">
      <c r="A41" s="18" t="s">
        <v>78</v>
      </c>
      <c r="B41" s="18" t="s">
        <v>27</v>
      </c>
      <c r="C41" s="60" t="s">
        <v>28</v>
      </c>
      <c r="D41" s="60" t="s">
        <v>28</v>
      </c>
      <c r="E41" s="61">
        <v>21256481</v>
      </c>
      <c r="F41" s="61">
        <f t="shared" si="11"/>
        <v>1062824.05</v>
      </c>
      <c r="G41" s="61">
        <v>590000</v>
      </c>
      <c r="H41" s="61">
        <f t="shared" si="12"/>
        <v>22909305.05</v>
      </c>
      <c r="I41" s="61">
        <v>0</v>
      </c>
      <c r="J41" s="61">
        <f t="shared" si="13"/>
        <v>22909305.05</v>
      </c>
      <c r="K41" s="61">
        <f t="shared" si="2"/>
        <v>1041332.04772727</v>
      </c>
      <c r="L41" s="18">
        <v>22</v>
      </c>
      <c r="M41" s="68">
        <v>37</v>
      </c>
      <c r="N41" s="18">
        <f>SUM(L41:M41)</f>
        <v>59</v>
      </c>
      <c r="O41" s="69">
        <v>45301</v>
      </c>
      <c r="P41" s="70">
        <v>45666</v>
      </c>
      <c r="Q41" s="18" t="str">
        <f t="shared" si="3"/>
        <v>January</v>
      </c>
      <c r="R41" s="18">
        <f t="shared" si="4"/>
        <v>2024</v>
      </c>
      <c r="S41" s="18" t="s">
        <v>35</v>
      </c>
      <c r="T41" s="18" t="s">
        <v>79</v>
      </c>
      <c r="U41" s="18"/>
      <c r="V41" s="18"/>
      <c r="W41" s="77">
        <v>45224</v>
      </c>
      <c r="X41" s="18">
        <f ca="1" t="shared" si="14"/>
        <v>293</v>
      </c>
      <c r="Y41" s="18">
        <f t="shared" si="15"/>
        <v>77</v>
      </c>
      <c r="Z41" s="64">
        <f t="shared" si="10"/>
        <v>1.68</v>
      </c>
      <c r="AA41" t="str">
        <f t="shared" si="5"/>
        <v>Hares</v>
      </c>
      <c r="AB41" s="16"/>
      <c r="AC41" s="16"/>
      <c r="AD41" s="16"/>
      <c r="AE41" s="16"/>
    </row>
    <row r="42" ht="15.75" customHeight="1" spans="1:27">
      <c r="A42" s="18" t="s">
        <v>80</v>
      </c>
      <c r="B42" s="18" t="s">
        <v>27</v>
      </c>
      <c r="C42" s="60" t="s">
        <v>28</v>
      </c>
      <c r="D42" s="60" t="s">
        <v>28</v>
      </c>
      <c r="E42" s="61">
        <v>2731792</v>
      </c>
      <c r="F42" s="61">
        <f t="shared" si="11"/>
        <v>136589.6</v>
      </c>
      <c r="G42" s="61">
        <v>50000</v>
      </c>
      <c r="H42" s="61">
        <f t="shared" si="12"/>
        <v>2918381.6</v>
      </c>
      <c r="I42" s="61">
        <v>0</v>
      </c>
      <c r="J42" s="61">
        <f t="shared" si="13"/>
        <v>2918381.6</v>
      </c>
      <c r="K42" s="61">
        <f t="shared" si="2"/>
        <v>2918381.6</v>
      </c>
      <c r="L42" s="18">
        <v>1</v>
      </c>
      <c r="M42" s="68">
        <v>4</v>
      </c>
      <c r="N42" s="18">
        <f>SUM(L42:M42)</f>
        <v>5</v>
      </c>
      <c r="O42" s="69">
        <v>45304</v>
      </c>
      <c r="P42" s="70">
        <v>45669</v>
      </c>
      <c r="Q42" s="18" t="str">
        <f t="shared" si="3"/>
        <v>January</v>
      </c>
      <c r="R42" s="18">
        <f t="shared" si="4"/>
        <v>2024</v>
      </c>
      <c r="S42" s="18" t="s">
        <v>29</v>
      </c>
      <c r="T42" s="18" t="s">
        <v>29</v>
      </c>
      <c r="U42" s="18"/>
      <c r="V42" s="18"/>
      <c r="W42" s="77">
        <v>45287</v>
      </c>
      <c r="X42" s="18">
        <f ca="1" t="shared" si="14"/>
        <v>290</v>
      </c>
      <c r="Y42" s="18">
        <f t="shared" si="15"/>
        <v>17</v>
      </c>
      <c r="Z42" s="64">
        <f t="shared" si="10"/>
        <v>4</v>
      </c>
      <c r="AA42" t="str">
        <f t="shared" si="5"/>
        <v>Hares</v>
      </c>
    </row>
    <row r="43" ht="15.75" customHeight="1" spans="1:27">
      <c r="A43" s="18" t="s">
        <v>81</v>
      </c>
      <c r="B43" s="18" t="s">
        <v>27</v>
      </c>
      <c r="C43" s="60" t="s">
        <v>28</v>
      </c>
      <c r="D43" s="60" t="s">
        <v>28</v>
      </c>
      <c r="E43" s="61">
        <v>457803</v>
      </c>
      <c r="F43" s="61">
        <f t="shared" si="11"/>
        <v>22890.15</v>
      </c>
      <c r="G43" s="61">
        <v>10000</v>
      </c>
      <c r="H43" s="61">
        <f t="shared" si="12"/>
        <v>490693.15</v>
      </c>
      <c r="I43" s="61">
        <v>0</v>
      </c>
      <c r="J43" s="61">
        <f t="shared" si="13"/>
        <v>490693.15</v>
      </c>
      <c r="K43" s="61">
        <f t="shared" si="2"/>
        <v>490693.15</v>
      </c>
      <c r="L43" s="18">
        <v>1</v>
      </c>
      <c r="M43" s="68">
        <v>0</v>
      </c>
      <c r="N43" s="18">
        <f>SUM(L43:M43)</f>
        <v>1</v>
      </c>
      <c r="O43" s="69">
        <v>45316</v>
      </c>
      <c r="P43" s="70">
        <v>45681</v>
      </c>
      <c r="Q43" s="18" t="str">
        <f t="shared" si="3"/>
        <v>January</v>
      </c>
      <c r="R43" s="18">
        <f t="shared" si="4"/>
        <v>2024</v>
      </c>
      <c r="S43" s="18" t="s">
        <v>29</v>
      </c>
      <c r="T43" s="18" t="s">
        <v>82</v>
      </c>
      <c r="U43" s="18" t="s">
        <v>31</v>
      </c>
      <c r="V43" s="53" t="s">
        <v>83</v>
      </c>
      <c r="W43" s="77">
        <v>45244</v>
      </c>
      <c r="X43" s="18">
        <f ca="1" t="shared" si="14"/>
        <v>278</v>
      </c>
      <c r="Y43" s="18">
        <f t="shared" si="15"/>
        <v>72</v>
      </c>
      <c r="Z43" s="64">
        <f t="shared" si="10"/>
        <v>0</v>
      </c>
      <c r="AA43" t="str">
        <f t="shared" si="5"/>
        <v>Hares</v>
      </c>
    </row>
    <row r="44" ht="15.75" customHeight="1" spans="1:27">
      <c r="A44" s="18" t="s">
        <v>84</v>
      </c>
      <c r="B44" s="18" t="s">
        <v>27</v>
      </c>
      <c r="C44" s="60" t="s">
        <v>71</v>
      </c>
      <c r="D44" s="60" t="s">
        <v>71</v>
      </c>
      <c r="E44" s="64"/>
      <c r="F44" s="64"/>
      <c r="G44" s="64"/>
      <c r="H44" s="64"/>
      <c r="I44" s="64"/>
      <c r="J44" s="72">
        <v>1125000</v>
      </c>
      <c r="K44" s="61">
        <f t="shared" si="2"/>
        <v>225000</v>
      </c>
      <c r="L44" s="73">
        <v>5</v>
      </c>
      <c r="M44" s="68">
        <v>0</v>
      </c>
      <c r="N44" s="73">
        <v>5</v>
      </c>
      <c r="O44" s="74">
        <v>45327</v>
      </c>
      <c r="P44" s="75">
        <v>45477</v>
      </c>
      <c r="Q44" s="18" t="str">
        <f t="shared" si="3"/>
        <v>February</v>
      </c>
      <c r="R44" s="18">
        <f t="shared" si="4"/>
        <v>2024</v>
      </c>
      <c r="S44" s="18" t="s">
        <v>29</v>
      </c>
      <c r="T44" s="18" t="s">
        <v>30</v>
      </c>
      <c r="U44" s="18" t="s">
        <v>31</v>
      </c>
      <c r="V44" s="53" t="s">
        <v>32</v>
      </c>
      <c r="W44" s="75">
        <v>45265</v>
      </c>
      <c r="X44" s="18"/>
      <c r="Y44" s="18"/>
      <c r="Z44" s="64">
        <f t="shared" si="10"/>
        <v>0</v>
      </c>
      <c r="AA44" t="str">
        <f t="shared" si="5"/>
        <v>Hares</v>
      </c>
    </row>
    <row r="45" ht="15.75" customHeight="1" spans="1:27">
      <c r="A45" s="18" t="s">
        <v>85</v>
      </c>
      <c r="B45" s="18" t="s">
        <v>27</v>
      </c>
      <c r="C45" s="60" t="s">
        <v>28</v>
      </c>
      <c r="D45" s="60" t="s">
        <v>28</v>
      </c>
      <c r="E45" s="61">
        <v>582697</v>
      </c>
      <c r="F45" s="61">
        <f t="shared" ref="F45:F55" si="16">E45*5%</f>
        <v>29134.85</v>
      </c>
      <c r="G45" s="61">
        <v>10000</v>
      </c>
      <c r="H45" s="61">
        <f t="shared" ref="H45:H55" si="17">SUM(E45:G45)</f>
        <v>621831.85</v>
      </c>
      <c r="I45" s="61">
        <v>0</v>
      </c>
      <c r="J45" s="61">
        <f t="shared" ref="J45:J55" si="18">SUM(H45:I45)</f>
        <v>621831.85</v>
      </c>
      <c r="K45" s="61">
        <f t="shared" si="2"/>
        <v>621831.85</v>
      </c>
      <c r="L45" s="18">
        <v>1</v>
      </c>
      <c r="M45" s="68">
        <v>0</v>
      </c>
      <c r="N45" s="18">
        <f t="shared" ref="N45:N55" si="19">SUM(L45:M45)</f>
        <v>1</v>
      </c>
      <c r="O45" s="69">
        <v>45327</v>
      </c>
      <c r="P45" s="70">
        <v>45692</v>
      </c>
      <c r="Q45" s="18" t="str">
        <f t="shared" si="3"/>
        <v>February</v>
      </c>
      <c r="R45" s="18">
        <f t="shared" si="4"/>
        <v>2024</v>
      </c>
      <c r="S45" s="18" t="s">
        <v>29</v>
      </c>
      <c r="T45" s="18" t="s">
        <v>86</v>
      </c>
      <c r="U45" s="18" t="s">
        <v>31</v>
      </c>
      <c r="V45" s="53" t="s">
        <v>87</v>
      </c>
      <c r="W45" s="77">
        <v>45296</v>
      </c>
      <c r="X45" s="18">
        <f ca="1" t="shared" ref="X45:X55" si="20">TODAY()-O45</f>
        <v>267</v>
      </c>
      <c r="Y45" s="18">
        <f t="shared" ref="Y45:Y55" si="21">O45-W45</f>
        <v>31</v>
      </c>
      <c r="Z45" s="64">
        <f t="shared" si="10"/>
        <v>0</v>
      </c>
      <c r="AA45" t="str">
        <f t="shared" si="5"/>
        <v>Hares</v>
      </c>
    </row>
    <row r="46" ht="15.75" customHeight="1" spans="1:27">
      <c r="A46" s="18" t="s">
        <v>88</v>
      </c>
      <c r="B46" s="18" t="s">
        <v>27</v>
      </c>
      <c r="C46" s="60" t="s">
        <v>28</v>
      </c>
      <c r="D46" s="60" t="s">
        <v>28</v>
      </c>
      <c r="E46" s="61">
        <v>11388150</v>
      </c>
      <c r="F46" s="61">
        <f t="shared" si="16"/>
        <v>569407.5</v>
      </c>
      <c r="G46" s="61">
        <v>200000</v>
      </c>
      <c r="H46" s="61">
        <f t="shared" si="17"/>
        <v>12157557.5</v>
      </c>
      <c r="I46" s="61">
        <v>0</v>
      </c>
      <c r="J46" s="61">
        <f t="shared" si="18"/>
        <v>12157557.5</v>
      </c>
      <c r="K46" s="61">
        <f t="shared" si="2"/>
        <v>1350839.72222222</v>
      </c>
      <c r="L46" s="18">
        <v>9</v>
      </c>
      <c r="M46" s="68">
        <v>11</v>
      </c>
      <c r="N46" s="18">
        <f t="shared" si="19"/>
        <v>20</v>
      </c>
      <c r="O46" s="69">
        <v>45328</v>
      </c>
      <c r="P46" s="70">
        <v>45693</v>
      </c>
      <c r="Q46" s="18" t="str">
        <f t="shared" si="3"/>
        <v>February</v>
      </c>
      <c r="R46" s="18">
        <f t="shared" si="4"/>
        <v>2024</v>
      </c>
      <c r="S46" s="18" t="s">
        <v>29</v>
      </c>
      <c r="T46" s="18" t="s">
        <v>82</v>
      </c>
      <c r="U46" s="18" t="s">
        <v>31</v>
      </c>
      <c r="V46" s="53" t="s">
        <v>83</v>
      </c>
      <c r="W46" s="77">
        <v>45200</v>
      </c>
      <c r="X46" s="18">
        <f ca="1" t="shared" si="20"/>
        <v>266</v>
      </c>
      <c r="Y46" s="18">
        <f t="shared" si="21"/>
        <v>128</v>
      </c>
      <c r="Z46" s="64">
        <f t="shared" si="10"/>
        <v>1.22</v>
      </c>
      <c r="AA46" t="str">
        <f t="shared" si="5"/>
        <v>Hares</v>
      </c>
    </row>
    <row r="47" ht="15.75" customHeight="1" spans="1:27">
      <c r="A47" s="18" t="s">
        <v>89</v>
      </c>
      <c r="B47" s="18" t="s">
        <v>27</v>
      </c>
      <c r="C47" s="60" t="s">
        <v>28</v>
      </c>
      <c r="D47" s="60" t="s">
        <v>28</v>
      </c>
      <c r="E47" s="61">
        <v>2920457</v>
      </c>
      <c r="F47" s="61">
        <f t="shared" si="16"/>
        <v>146022.85</v>
      </c>
      <c r="G47" s="61">
        <v>60000</v>
      </c>
      <c r="H47" s="61">
        <f t="shared" si="17"/>
        <v>3126479.85</v>
      </c>
      <c r="I47" s="61">
        <v>0</v>
      </c>
      <c r="J47" s="61">
        <f t="shared" si="18"/>
        <v>3126479.85</v>
      </c>
      <c r="K47" s="61">
        <f t="shared" si="2"/>
        <v>521079.975</v>
      </c>
      <c r="L47" s="18">
        <v>6</v>
      </c>
      <c r="M47" s="68">
        <v>0</v>
      </c>
      <c r="N47" s="18">
        <f t="shared" si="19"/>
        <v>6</v>
      </c>
      <c r="O47" s="69">
        <v>45331</v>
      </c>
      <c r="P47" s="70">
        <v>45696</v>
      </c>
      <c r="Q47" s="18" t="str">
        <f t="shared" si="3"/>
        <v>February</v>
      </c>
      <c r="R47" s="18">
        <f t="shared" si="4"/>
        <v>2024</v>
      </c>
      <c r="S47" s="18" t="s">
        <v>29</v>
      </c>
      <c r="T47" s="18" t="s">
        <v>30</v>
      </c>
      <c r="U47" s="18" t="s">
        <v>31</v>
      </c>
      <c r="V47" s="53" t="s">
        <v>32</v>
      </c>
      <c r="W47" s="77">
        <v>45208</v>
      </c>
      <c r="X47" s="18">
        <f ca="1" t="shared" si="20"/>
        <v>263</v>
      </c>
      <c r="Y47" s="18">
        <f t="shared" si="21"/>
        <v>123</v>
      </c>
      <c r="Z47" s="64">
        <f t="shared" si="10"/>
        <v>0</v>
      </c>
      <c r="AA47" t="str">
        <f t="shared" si="5"/>
        <v>Hares</v>
      </c>
    </row>
    <row r="48" ht="15.75" customHeight="1" spans="1:27">
      <c r="A48" s="18" t="s">
        <v>90</v>
      </c>
      <c r="B48" s="18" t="s">
        <v>39</v>
      </c>
      <c r="C48" s="60" t="s">
        <v>28</v>
      </c>
      <c r="D48" s="60" t="s">
        <v>28</v>
      </c>
      <c r="E48" s="61">
        <f>2713988+6580490</f>
        <v>9294478</v>
      </c>
      <c r="F48" s="61">
        <f t="shared" si="16"/>
        <v>464723.9</v>
      </c>
      <c r="G48" s="61">
        <f>260000+600000</f>
        <v>860000</v>
      </c>
      <c r="H48" s="61">
        <f t="shared" si="17"/>
        <v>10619201.9</v>
      </c>
      <c r="I48" s="61">
        <f>4613600+5416000</f>
        <v>10029600</v>
      </c>
      <c r="J48" s="61">
        <f t="shared" si="18"/>
        <v>20648801.9</v>
      </c>
      <c r="K48" s="61">
        <f t="shared" si="2"/>
        <v>135847.380921053</v>
      </c>
      <c r="L48" s="18">
        <f>32+120</f>
        <v>152</v>
      </c>
      <c r="M48" s="68">
        <v>0</v>
      </c>
      <c r="N48" s="18">
        <f t="shared" si="19"/>
        <v>152</v>
      </c>
      <c r="O48" s="69">
        <v>45331</v>
      </c>
      <c r="P48" s="70">
        <v>45696</v>
      </c>
      <c r="Q48" s="18" t="str">
        <f t="shared" si="3"/>
        <v>February</v>
      </c>
      <c r="R48" s="18">
        <f t="shared" si="4"/>
        <v>2024</v>
      </c>
      <c r="S48" s="18" t="s">
        <v>29</v>
      </c>
      <c r="T48" s="18" t="s">
        <v>29</v>
      </c>
      <c r="U48" s="18"/>
      <c r="V48" s="18"/>
      <c r="W48" s="77">
        <v>45244</v>
      </c>
      <c r="X48" s="18">
        <f ca="1" t="shared" si="20"/>
        <v>263</v>
      </c>
      <c r="Y48" s="18">
        <f t="shared" si="21"/>
        <v>87</v>
      </c>
      <c r="Z48" s="64">
        <f t="shared" si="10"/>
        <v>0</v>
      </c>
      <c r="AA48" t="str">
        <f t="shared" si="5"/>
        <v>Elephants</v>
      </c>
    </row>
    <row r="49" ht="15.75" customHeight="1" spans="1:27">
      <c r="A49" s="18" t="s">
        <v>33</v>
      </c>
      <c r="B49" s="18" t="s">
        <v>91</v>
      </c>
      <c r="C49" s="60" t="s">
        <v>28</v>
      </c>
      <c r="D49" s="53" t="s">
        <v>92</v>
      </c>
      <c r="E49" s="61">
        <v>25054849</v>
      </c>
      <c r="F49" s="61">
        <f t="shared" si="16"/>
        <v>1252742.45</v>
      </c>
      <c r="G49" s="61">
        <v>335000</v>
      </c>
      <c r="H49" s="61">
        <f t="shared" si="17"/>
        <v>26642591.45</v>
      </c>
      <c r="I49" s="61">
        <v>0</v>
      </c>
      <c r="J49" s="61">
        <f t="shared" si="18"/>
        <v>26642591.45</v>
      </c>
      <c r="K49" s="61">
        <f t="shared" si="2"/>
        <v>832580.9828125</v>
      </c>
      <c r="L49" s="18">
        <v>32</v>
      </c>
      <c r="M49" s="68">
        <f>67-32</f>
        <v>35</v>
      </c>
      <c r="N49" s="18">
        <f t="shared" si="19"/>
        <v>67</v>
      </c>
      <c r="O49" s="69">
        <v>45336</v>
      </c>
      <c r="P49" s="70">
        <v>45701</v>
      </c>
      <c r="Q49" s="18" t="str">
        <f t="shared" si="3"/>
        <v>February</v>
      </c>
      <c r="R49" s="18">
        <f t="shared" si="4"/>
        <v>2024</v>
      </c>
      <c r="S49" s="18" t="s">
        <v>29</v>
      </c>
      <c r="T49" s="18" t="s">
        <v>86</v>
      </c>
      <c r="U49" s="18" t="s">
        <v>31</v>
      </c>
      <c r="V49" s="53" t="s">
        <v>87</v>
      </c>
      <c r="W49" s="77">
        <v>45301</v>
      </c>
      <c r="X49" s="18">
        <f ca="1" t="shared" si="20"/>
        <v>258</v>
      </c>
      <c r="Y49" s="18">
        <f t="shared" si="21"/>
        <v>35</v>
      </c>
      <c r="Z49" s="64">
        <f t="shared" si="10"/>
        <v>1.09</v>
      </c>
      <c r="AA49" t="str">
        <f t="shared" si="5"/>
        <v>Tigers</v>
      </c>
    </row>
    <row r="50" ht="15.75" customHeight="1" spans="1:27">
      <c r="A50" s="18" t="s">
        <v>93</v>
      </c>
      <c r="B50" s="18" t="s">
        <v>27</v>
      </c>
      <c r="C50" s="60" t="s">
        <v>28</v>
      </c>
      <c r="D50" s="60" t="s">
        <v>28</v>
      </c>
      <c r="E50" s="61">
        <v>673775</v>
      </c>
      <c r="F50" s="61">
        <f t="shared" si="16"/>
        <v>33688.75</v>
      </c>
      <c r="G50" s="61">
        <v>10000</v>
      </c>
      <c r="H50" s="61">
        <f t="shared" si="17"/>
        <v>717463.75</v>
      </c>
      <c r="I50" s="61">
        <v>0</v>
      </c>
      <c r="J50" s="61">
        <f t="shared" si="18"/>
        <v>717463.75</v>
      </c>
      <c r="K50" s="61">
        <f t="shared" si="2"/>
        <v>717463.75</v>
      </c>
      <c r="L50" s="18">
        <v>1</v>
      </c>
      <c r="M50" s="68">
        <v>0</v>
      </c>
      <c r="N50" s="18">
        <f t="shared" si="19"/>
        <v>1</v>
      </c>
      <c r="O50" s="69">
        <v>45337</v>
      </c>
      <c r="P50" s="70">
        <v>45702</v>
      </c>
      <c r="Q50" s="18" t="str">
        <f t="shared" si="3"/>
        <v>February</v>
      </c>
      <c r="R50" s="18">
        <f t="shared" si="4"/>
        <v>2024</v>
      </c>
      <c r="S50" s="18" t="s">
        <v>29</v>
      </c>
      <c r="T50" s="18" t="s">
        <v>29</v>
      </c>
      <c r="U50" s="18"/>
      <c r="V50" s="18"/>
      <c r="W50" s="77">
        <v>45209</v>
      </c>
      <c r="X50" s="18">
        <f ca="1" t="shared" si="20"/>
        <v>257</v>
      </c>
      <c r="Y50" s="18">
        <f t="shared" si="21"/>
        <v>128</v>
      </c>
      <c r="Z50" s="64">
        <f t="shared" si="10"/>
        <v>0</v>
      </c>
      <c r="AA50" t="str">
        <f t="shared" si="5"/>
        <v>Hares</v>
      </c>
    </row>
    <row r="51" ht="15.75" customHeight="1" spans="1:27">
      <c r="A51" s="18" t="s">
        <v>94</v>
      </c>
      <c r="B51" s="18" t="s">
        <v>27</v>
      </c>
      <c r="C51" s="60" t="s">
        <v>28</v>
      </c>
      <c r="D51" s="60" t="s">
        <v>28</v>
      </c>
      <c r="E51" s="61">
        <v>22693363</v>
      </c>
      <c r="F51" s="61">
        <f t="shared" si="16"/>
        <v>1134668.15</v>
      </c>
      <c r="G51" s="61">
        <v>720000</v>
      </c>
      <c r="H51" s="61">
        <f t="shared" si="17"/>
        <v>24548031.15</v>
      </c>
      <c r="I51" s="61">
        <v>0</v>
      </c>
      <c r="J51" s="61">
        <f t="shared" si="18"/>
        <v>24548031.15</v>
      </c>
      <c r="K51" s="61">
        <f t="shared" si="2"/>
        <v>454593.169444444</v>
      </c>
      <c r="L51" s="18">
        <v>54</v>
      </c>
      <c r="M51" s="68">
        <f>72-54</f>
        <v>18</v>
      </c>
      <c r="N51" s="18">
        <f t="shared" si="19"/>
        <v>72</v>
      </c>
      <c r="O51" s="69">
        <v>45344</v>
      </c>
      <c r="P51" s="70">
        <v>45709</v>
      </c>
      <c r="Q51" s="18" t="str">
        <f t="shared" si="3"/>
        <v>February</v>
      </c>
      <c r="R51" s="18">
        <f t="shared" si="4"/>
        <v>2024</v>
      </c>
      <c r="S51" s="18" t="s">
        <v>29</v>
      </c>
      <c r="T51" s="18" t="s">
        <v>86</v>
      </c>
      <c r="U51" s="18" t="s">
        <v>31</v>
      </c>
      <c r="V51" s="53" t="s">
        <v>87</v>
      </c>
      <c r="W51" s="77">
        <v>45297</v>
      </c>
      <c r="X51" s="18">
        <f ca="1" t="shared" si="20"/>
        <v>250</v>
      </c>
      <c r="Y51" s="18">
        <f t="shared" si="21"/>
        <v>47</v>
      </c>
      <c r="Z51" s="64">
        <f t="shared" si="10"/>
        <v>0.33</v>
      </c>
      <c r="AA51" t="str">
        <f t="shared" si="5"/>
        <v>Tigers</v>
      </c>
    </row>
    <row r="52" ht="15.75" customHeight="1" spans="1:27">
      <c r="A52" s="18" t="s">
        <v>95</v>
      </c>
      <c r="B52" s="18" t="s">
        <v>27</v>
      </c>
      <c r="C52" s="60" t="s">
        <v>28</v>
      </c>
      <c r="D52" s="60" t="s">
        <v>28</v>
      </c>
      <c r="E52" s="61">
        <f>1039872+1855441</f>
        <v>2895313</v>
      </c>
      <c r="F52" s="61">
        <f t="shared" si="16"/>
        <v>144765.65</v>
      </c>
      <c r="G52" s="61">
        <v>60000</v>
      </c>
      <c r="H52" s="61">
        <f t="shared" si="17"/>
        <v>3100078.65</v>
      </c>
      <c r="I52" s="61"/>
      <c r="J52" s="61">
        <f t="shared" si="18"/>
        <v>3100078.65</v>
      </c>
      <c r="K52" s="61">
        <f t="shared" si="2"/>
        <v>516679.775</v>
      </c>
      <c r="L52" s="18">
        <v>6</v>
      </c>
      <c r="M52" s="68">
        <v>0</v>
      </c>
      <c r="N52" s="18">
        <f t="shared" si="19"/>
        <v>6</v>
      </c>
      <c r="O52" s="69">
        <v>45350</v>
      </c>
      <c r="P52" s="70">
        <v>45715</v>
      </c>
      <c r="Q52" s="18" t="str">
        <f t="shared" si="3"/>
        <v>February</v>
      </c>
      <c r="R52" s="18">
        <f t="shared" si="4"/>
        <v>2024</v>
      </c>
      <c r="S52" s="18" t="s">
        <v>29</v>
      </c>
      <c r="T52" s="18" t="s">
        <v>30</v>
      </c>
      <c r="U52" s="18" t="s">
        <v>31</v>
      </c>
      <c r="V52" s="53" t="s">
        <v>32</v>
      </c>
      <c r="W52" s="77">
        <v>45335</v>
      </c>
      <c r="X52" s="18">
        <f ca="1" t="shared" si="20"/>
        <v>244</v>
      </c>
      <c r="Y52" s="18">
        <f t="shared" si="21"/>
        <v>15</v>
      </c>
      <c r="Z52" s="64">
        <f t="shared" si="10"/>
        <v>0</v>
      </c>
      <c r="AA52" t="str">
        <f t="shared" si="5"/>
        <v>Hares</v>
      </c>
    </row>
    <row r="53" ht="15.75" customHeight="1" spans="1:27">
      <c r="A53" s="18" t="s">
        <v>96</v>
      </c>
      <c r="B53" s="18" t="s">
        <v>27</v>
      </c>
      <c r="C53" s="60" t="s">
        <v>28</v>
      </c>
      <c r="D53" s="60" t="s">
        <v>28</v>
      </c>
      <c r="E53" s="61">
        <v>379939</v>
      </c>
      <c r="F53" s="61">
        <f t="shared" si="16"/>
        <v>18996.95</v>
      </c>
      <c r="G53" s="61">
        <v>10000</v>
      </c>
      <c r="H53" s="61">
        <f t="shared" si="17"/>
        <v>408935.95</v>
      </c>
      <c r="I53" s="61">
        <v>0</v>
      </c>
      <c r="J53" s="61">
        <f t="shared" si="18"/>
        <v>408935.95</v>
      </c>
      <c r="K53" s="61">
        <f t="shared" si="2"/>
        <v>408935.95</v>
      </c>
      <c r="L53" s="18">
        <v>1</v>
      </c>
      <c r="M53" s="68">
        <v>0</v>
      </c>
      <c r="N53" s="18">
        <f t="shared" si="19"/>
        <v>1</v>
      </c>
      <c r="O53" s="69">
        <v>45356</v>
      </c>
      <c r="P53" s="70">
        <v>45720</v>
      </c>
      <c r="Q53" s="18" t="str">
        <f t="shared" si="3"/>
        <v>March</v>
      </c>
      <c r="R53" s="18">
        <f t="shared" si="4"/>
        <v>2024</v>
      </c>
      <c r="S53" s="18" t="s">
        <v>29</v>
      </c>
      <c r="T53" s="18" t="s">
        <v>29</v>
      </c>
      <c r="U53" s="18"/>
      <c r="V53" s="18"/>
      <c r="W53" s="77">
        <v>45356</v>
      </c>
      <c r="X53" s="18">
        <f ca="1" t="shared" si="20"/>
        <v>238</v>
      </c>
      <c r="Y53" s="18">
        <f t="shared" si="21"/>
        <v>0</v>
      </c>
      <c r="Z53" s="64">
        <f t="shared" si="10"/>
        <v>0</v>
      </c>
      <c r="AA53" t="str">
        <f t="shared" si="5"/>
        <v>Hares</v>
      </c>
    </row>
    <row r="54" ht="15.75" customHeight="1" spans="1:27">
      <c r="A54" s="18" t="s">
        <v>36</v>
      </c>
      <c r="B54" s="18" t="s">
        <v>91</v>
      </c>
      <c r="C54" s="60" t="s">
        <v>28</v>
      </c>
      <c r="D54" s="53" t="s">
        <v>92</v>
      </c>
      <c r="E54" s="61">
        <v>34306666</v>
      </c>
      <c r="F54" s="61">
        <f t="shared" si="16"/>
        <v>1715333.3</v>
      </c>
      <c r="G54" s="61">
        <v>0</v>
      </c>
      <c r="H54" s="61">
        <f t="shared" si="17"/>
        <v>36021999.3</v>
      </c>
      <c r="I54" s="61">
        <v>0</v>
      </c>
      <c r="J54" s="61">
        <f t="shared" si="18"/>
        <v>36021999.3</v>
      </c>
      <c r="K54" s="61">
        <f t="shared" si="2"/>
        <v>1000611.09166667</v>
      </c>
      <c r="L54" s="18">
        <v>36</v>
      </c>
      <c r="M54" s="68">
        <f>105-36</f>
        <v>69</v>
      </c>
      <c r="N54" s="18">
        <f t="shared" si="19"/>
        <v>105</v>
      </c>
      <c r="O54" s="69">
        <v>45359</v>
      </c>
      <c r="P54" s="70">
        <v>45723</v>
      </c>
      <c r="Q54" s="18" t="str">
        <f t="shared" si="3"/>
        <v>March</v>
      </c>
      <c r="R54" s="18">
        <f t="shared" si="4"/>
        <v>2024</v>
      </c>
      <c r="S54" s="18" t="s">
        <v>29</v>
      </c>
      <c r="T54" s="18" t="s">
        <v>86</v>
      </c>
      <c r="U54" s="18" t="s">
        <v>31</v>
      </c>
      <c r="V54" s="53" t="s">
        <v>87</v>
      </c>
      <c r="W54" s="77">
        <v>45328</v>
      </c>
      <c r="X54" s="18">
        <f ca="1" t="shared" si="20"/>
        <v>235</v>
      </c>
      <c r="Y54" s="18">
        <f t="shared" si="21"/>
        <v>31</v>
      </c>
      <c r="Z54" s="64">
        <f t="shared" si="10"/>
        <v>1.92</v>
      </c>
      <c r="AA54" t="str">
        <f t="shared" si="5"/>
        <v>Tigers</v>
      </c>
    </row>
    <row r="55" ht="15.75" customHeight="1" spans="1:27">
      <c r="A55" s="18" t="s">
        <v>97</v>
      </c>
      <c r="B55" s="18" t="s">
        <v>27</v>
      </c>
      <c r="C55" s="60" t="s">
        <v>28</v>
      </c>
      <c r="D55" s="60" t="s">
        <v>28</v>
      </c>
      <c r="E55" s="61">
        <v>17137620</v>
      </c>
      <c r="F55" s="61">
        <f t="shared" si="16"/>
        <v>856881</v>
      </c>
      <c r="G55" s="61">
        <v>480000</v>
      </c>
      <c r="H55" s="61">
        <f t="shared" si="17"/>
        <v>18474501</v>
      </c>
      <c r="I55" s="61">
        <v>0</v>
      </c>
      <c r="J55" s="61">
        <f t="shared" si="18"/>
        <v>18474501</v>
      </c>
      <c r="K55" s="61">
        <f t="shared" si="2"/>
        <v>1539541.75</v>
      </c>
      <c r="L55" s="18">
        <v>12</v>
      </c>
      <c r="M55" s="68">
        <v>36</v>
      </c>
      <c r="N55" s="18">
        <f t="shared" si="19"/>
        <v>48</v>
      </c>
      <c r="O55" s="69">
        <v>45361</v>
      </c>
      <c r="P55" s="70">
        <v>45725</v>
      </c>
      <c r="Q55" s="18" t="str">
        <f t="shared" si="3"/>
        <v>March</v>
      </c>
      <c r="R55" s="18">
        <f t="shared" si="4"/>
        <v>2024</v>
      </c>
      <c r="S55" s="18" t="s">
        <v>29</v>
      </c>
      <c r="T55" s="18" t="s">
        <v>82</v>
      </c>
      <c r="U55" s="18" t="s">
        <v>31</v>
      </c>
      <c r="V55" s="53" t="s">
        <v>83</v>
      </c>
      <c r="W55" s="77">
        <v>45348</v>
      </c>
      <c r="X55" s="18">
        <f ca="1" t="shared" si="20"/>
        <v>233</v>
      </c>
      <c r="Y55" s="18">
        <f t="shared" si="21"/>
        <v>13</v>
      </c>
      <c r="Z55" s="64">
        <f t="shared" si="10"/>
        <v>3</v>
      </c>
      <c r="AA55" t="str">
        <f t="shared" si="5"/>
        <v>Hares</v>
      </c>
    </row>
    <row r="56" ht="15.75" customHeight="1" spans="1:27">
      <c r="A56" s="18" t="s">
        <v>98</v>
      </c>
      <c r="B56" s="65" t="s">
        <v>27</v>
      </c>
      <c r="C56" s="60" t="s">
        <v>71</v>
      </c>
      <c r="D56" s="60" t="s">
        <v>71</v>
      </c>
      <c r="E56" s="64"/>
      <c r="F56" s="64"/>
      <c r="G56" s="64"/>
      <c r="H56" s="64"/>
      <c r="I56" s="64"/>
      <c r="J56" s="72">
        <v>2088990</v>
      </c>
      <c r="K56" s="61">
        <f t="shared" si="2"/>
        <v>32138.3076923077</v>
      </c>
      <c r="L56" s="73">
        <v>65</v>
      </c>
      <c r="M56" s="68">
        <v>0</v>
      </c>
      <c r="N56" s="73">
        <v>65</v>
      </c>
      <c r="O56" s="74">
        <v>45362</v>
      </c>
      <c r="P56" s="75">
        <v>45636</v>
      </c>
      <c r="Q56" s="18" t="str">
        <f t="shared" si="3"/>
        <v>March</v>
      </c>
      <c r="R56" s="18">
        <f t="shared" si="4"/>
        <v>2024</v>
      </c>
      <c r="S56" s="18" t="s">
        <v>29</v>
      </c>
      <c r="T56" s="18" t="s">
        <v>82</v>
      </c>
      <c r="U56" s="18" t="s">
        <v>31</v>
      </c>
      <c r="V56" s="53" t="s">
        <v>83</v>
      </c>
      <c r="W56" s="75">
        <v>45323</v>
      </c>
      <c r="X56" s="18"/>
      <c r="Y56" s="18"/>
      <c r="Z56" s="64">
        <f t="shared" si="10"/>
        <v>0</v>
      </c>
      <c r="AA56" t="str">
        <f t="shared" si="5"/>
        <v>Tigers</v>
      </c>
    </row>
    <row r="57" ht="15.75" customHeight="1" spans="1:27">
      <c r="A57" s="18" t="s">
        <v>99</v>
      </c>
      <c r="B57" s="18" t="s">
        <v>39</v>
      </c>
      <c r="C57" s="60" t="s">
        <v>28</v>
      </c>
      <c r="D57" s="60" t="s">
        <v>28</v>
      </c>
      <c r="E57" s="61">
        <v>3808773</v>
      </c>
      <c r="F57" s="61">
        <f t="shared" ref="F57:F100" si="22">E57*5%</f>
        <v>190438.65</v>
      </c>
      <c r="G57" s="61">
        <v>170000</v>
      </c>
      <c r="H57" s="61">
        <f t="shared" ref="H57:H100" si="23">SUM(E57:G57)</f>
        <v>4169211.65</v>
      </c>
      <c r="I57" s="61">
        <f>6435139+510000+91800</f>
        <v>7036939</v>
      </c>
      <c r="J57" s="61">
        <f t="shared" ref="J57:J100" si="24">SUM(H57:I57)</f>
        <v>11206150.65</v>
      </c>
      <c r="K57" s="61">
        <f t="shared" si="2"/>
        <v>589797.402631579</v>
      </c>
      <c r="L57" s="18">
        <v>19</v>
      </c>
      <c r="M57" s="68">
        <f>34-17</f>
        <v>17</v>
      </c>
      <c r="N57" s="18">
        <f t="shared" ref="N57:N97" si="25">SUM(L57:M57)</f>
        <v>36</v>
      </c>
      <c r="O57" s="69">
        <v>45362</v>
      </c>
      <c r="P57" s="70">
        <v>45726</v>
      </c>
      <c r="Q57" s="18" t="str">
        <f t="shared" si="3"/>
        <v>March</v>
      </c>
      <c r="R57" s="18">
        <f t="shared" si="4"/>
        <v>2024</v>
      </c>
      <c r="S57" s="18" t="s">
        <v>29</v>
      </c>
      <c r="T57" s="18" t="s">
        <v>100</v>
      </c>
      <c r="U57" s="18" t="s">
        <v>31</v>
      </c>
      <c r="V57" s="53" t="s">
        <v>32</v>
      </c>
      <c r="W57" s="77">
        <v>45301</v>
      </c>
      <c r="X57" s="18">
        <f ca="1" t="shared" ref="X57:X100" si="26">TODAY()-O57</f>
        <v>232</v>
      </c>
      <c r="Y57" s="18">
        <f>O57-W57</f>
        <v>61</v>
      </c>
      <c r="Z57" s="64">
        <f t="shared" si="10"/>
        <v>0.89</v>
      </c>
      <c r="AA57" t="str">
        <f t="shared" si="5"/>
        <v>Hares</v>
      </c>
    </row>
    <row r="58" ht="15.75" customHeight="1" spans="1:27">
      <c r="A58" s="18" t="s">
        <v>101</v>
      </c>
      <c r="B58" s="18" t="s">
        <v>39</v>
      </c>
      <c r="C58" s="60" t="s">
        <v>28</v>
      </c>
      <c r="D58" s="60" t="s">
        <v>28</v>
      </c>
      <c r="E58" s="61">
        <v>4210083</v>
      </c>
      <c r="F58" s="61">
        <f t="shared" si="22"/>
        <v>210504.15</v>
      </c>
      <c r="G58" s="61">
        <v>265000</v>
      </c>
      <c r="H58" s="61">
        <f t="shared" si="23"/>
        <v>4685587.15</v>
      </c>
      <c r="I58" s="61">
        <f>8867296+2280000+410400</f>
        <v>11557696</v>
      </c>
      <c r="J58" s="61">
        <f t="shared" si="24"/>
        <v>16243283.15</v>
      </c>
      <c r="K58" s="61">
        <f t="shared" si="2"/>
        <v>324865.663</v>
      </c>
      <c r="L58" s="18">
        <v>50</v>
      </c>
      <c r="M58" s="68">
        <v>100</v>
      </c>
      <c r="N58" s="18">
        <f t="shared" si="25"/>
        <v>150</v>
      </c>
      <c r="O58" s="69">
        <v>45363</v>
      </c>
      <c r="P58" s="70">
        <v>45727</v>
      </c>
      <c r="Q58" s="18" t="str">
        <f t="shared" si="3"/>
        <v>March</v>
      </c>
      <c r="R58" s="18">
        <f t="shared" si="4"/>
        <v>2024</v>
      </c>
      <c r="S58" s="18" t="s">
        <v>29</v>
      </c>
      <c r="T58" s="18" t="s">
        <v>29</v>
      </c>
      <c r="U58" s="18"/>
      <c r="V58" s="18"/>
      <c r="W58" s="77">
        <v>45327</v>
      </c>
      <c r="X58" s="18">
        <f ca="1" t="shared" si="26"/>
        <v>231</v>
      </c>
      <c r="Y58" s="18">
        <f>O58-W58</f>
        <v>36</v>
      </c>
      <c r="Z58" s="64">
        <f t="shared" si="10"/>
        <v>2</v>
      </c>
      <c r="AA58" t="str">
        <f t="shared" si="5"/>
        <v>Tigers</v>
      </c>
    </row>
    <row r="59" ht="15.75" customHeight="1" spans="1:27">
      <c r="A59" s="18" t="s">
        <v>102</v>
      </c>
      <c r="B59" s="18" t="s">
        <v>27</v>
      </c>
      <c r="C59" s="60" t="s">
        <v>28</v>
      </c>
      <c r="D59" s="60" t="s">
        <v>28</v>
      </c>
      <c r="E59" s="61">
        <v>595144</v>
      </c>
      <c r="F59" s="61">
        <f t="shared" si="22"/>
        <v>29757.2</v>
      </c>
      <c r="G59" s="61">
        <v>10000</v>
      </c>
      <c r="H59" s="61">
        <f t="shared" si="23"/>
        <v>634901.2</v>
      </c>
      <c r="I59" s="61">
        <v>0</v>
      </c>
      <c r="J59" s="61">
        <f t="shared" si="24"/>
        <v>634901.2</v>
      </c>
      <c r="K59" s="61">
        <f t="shared" si="2"/>
        <v>634901.2</v>
      </c>
      <c r="L59" s="18">
        <v>1</v>
      </c>
      <c r="M59" s="68">
        <v>0</v>
      </c>
      <c r="N59" s="18">
        <f t="shared" si="25"/>
        <v>1</v>
      </c>
      <c r="O59" s="69">
        <v>45365</v>
      </c>
      <c r="P59" s="70">
        <v>45728</v>
      </c>
      <c r="Q59" s="18" t="str">
        <f t="shared" si="3"/>
        <v>March</v>
      </c>
      <c r="R59" s="18">
        <f t="shared" si="4"/>
        <v>2024</v>
      </c>
      <c r="S59" s="18" t="s">
        <v>29</v>
      </c>
      <c r="T59" s="18" t="s">
        <v>29</v>
      </c>
      <c r="U59" s="18"/>
      <c r="V59" s="18"/>
      <c r="W59" s="77">
        <v>45365</v>
      </c>
      <c r="X59" s="18">
        <f ca="1" t="shared" si="26"/>
        <v>229</v>
      </c>
      <c r="Y59" s="18">
        <f>O59-W59</f>
        <v>0</v>
      </c>
      <c r="Z59" s="64">
        <f t="shared" si="10"/>
        <v>0</v>
      </c>
      <c r="AA59" t="str">
        <f t="shared" si="5"/>
        <v>Hares</v>
      </c>
    </row>
    <row r="60" ht="15.75" customHeight="1" spans="1:27">
      <c r="A60" s="18" t="s">
        <v>103</v>
      </c>
      <c r="B60" s="18" t="s">
        <v>27</v>
      </c>
      <c r="C60" s="60" t="s">
        <v>28</v>
      </c>
      <c r="D60" s="60" t="s">
        <v>28</v>
      </c>
      <c r="E60" s="61">
        <v>2197067</v>
      </c>
      <c r="F60" s="61">
        <f t="shared" si="22"/>
        <v>109853.35</v>
      </c>
      <c r="G60" s="61">
        <v>40000</v>
      </c>
      <c r="H60" s="61">
        <f t="shared" si="23"/>
        <v>2346920.35</v>
      </c>
      <c r="I60" s="61">
        <v>0</v>
      </c>
      <c r="J60" s="61">
        <f t="shared" si="24"/>
        <v>2346920.35</v>
      </c>
      <c r="K60" s="61">
        <f t="shared" si="2"/>
        <v>2346920.35</v>
      </c>
      <c r="L60" s="18">
        <v>1</v>
      </c>
      <c r="M60" s="68">
        <v>3</v>
      </c>
      <c r="N60" s="18">
        <f t="shared" si="25"/>
        <v>4</v>
      </c>
      <c r="O60" s="69">
        <v>45371</v>
      </c>
      <c r="P60" s="70">
        <v>45735</v>
      </c>
      <c r="Q60" s="18" t="str">
        <f t="shared" si="3"/>
        <v>March</v>
      </c>
      <c r="R60" s="18">
        <f t="shared" si="4"/>
        <v>2024</v>
      </c>
      <c r="S60" s="18" t="s">
        <v>41</v>
      </c>
      <c r="T60" s="18" t="s">
        <v>104</v>
      </c>
      <c r="U60" s="18" t="s">
        <v>31</v>
      </c>
      <c r="V60" s="18"/>
      <c r="W60" s="77">
        <v>45369</v>
      </c>
      <c r="X60" s="18">
        <f ca="1" t="shared" si="26"/>
        <v>223</v>
      </c>
      <c r="Y60" s="18">
        <f>O60-W60</f>
        <v>2</v>
      </c>
      <c r="Z60" s="64">
        <f t="shared" si="10"/>
        <v>3</v>
      </c>
      <c r="AA60" t="str">
        <f t="shared" si="5"/>
        <v>Hares</v>
      </c>
    </row>
    <row r="61" ht="15.75" customHeight="1" spans="1:27">
      <c r="A61" s="18" t="s">
        <v>105</v>
      </c>
      <c r="B61" s="18" t="s">
        <v>27</v>
      </c>
      <c r="C61" s="60" t="s">
        <v>28</v>
      </c>
      <c r="D61" s="60" t="s">
        <v>28</v>
      </c>
      <c r="E61" s="61">
        <v>1222368</v>
      </c>
      <c r="F61" s="61">
        <f t="shared" si="22"/>
        <v>61118.4</v>
      </c>
      <c r="G61" s="61">
        <v>30000</v>
      </c>
      <c r="H61" s="61">
        <f t="shared" si="23"/>
        <v>1313486.4</v>
      </c>
      <c r="I61" s="61">
        <v>0</v>
      </c>
      <c r="J61" s="61">
        <f t="shared" si="24"/>
        <v>1313486.4</v>
      </c>
      <c r="K61" s="61">
        <f t="shared" si="2"/>
        <v>437828.8</v>
      </c>
      <c r="L61" s="18">
        <v>3</v>
      </c>
      <c r="M61" s="68">
        <v>0</v>
      </c>
      <c r="N61" s="18">
        <f t="shared" si="25"/>
        <v>3</v>
      </c>
      <c r="O61" s="69">
        <v>45377</v>
      </c>
      <c r="P61" s="70">
        <v>45741</v>
      </c>
      <c r="Q61" s="18" t="str">
        <f t="shared" si="3"/>
        <v>March</v>
      </c>
      <c r="R61" s="18">
        <f t="shared" si="4"/>
        <v>2024</v>
      </c>
      <c r="S61" s="18" t="s">
        <v>29</v>
      </c>
      <c r="T61" s="18" t="s">
        <v>30</v>
      </c>
      <c r="U61" s="18" t="s">
        <v>31</v>
      </c>
      <c r="V61" s="53" t="s">
        <v>32</v>
      </c>
      <c r="W61" s="77"/>
      <c r="X61" s="18">
        <f ca="1" t="shared" si="26"/>
        <v>217</v>
      </c>
      <c r="Y61" s="18"/>
      <c r="Z61" s="64">
        <f t="shared" si="10"/>
        <v>0</v>
      </c>
      <c r="AA61" t="str">
        <f t="shared" si="5"/>
        <v>Hares</v>
      </c>
    </row>
    <row r="62" ht="15.75" customHeight="1" spans="1:27">
      <c r="A62" s="18" t="s">
        <v>106</v>
      </c>
      <c r="B62" s="18" t="s">
        <v>27</v>
      </c>
      <c r="C62" s="60" t="s">
        <v>28</v>
      </c>
      <c r="D62" s="60" t="s">
        <v>28</v>
      </c>
      <c r="E62" s="61">
        <v>18273873</v>
      </c>
      <c r="F62" s="61">
        <f t="shared" si="22"/>
        <v>913693.65</v>
      </c>
      <c r="G62" s="61">
        <v>480000</v>
      </c>
      <c r="H62" s="61">
        <f t="shared" si="23"/>
        <v>19667566.65</v>
      </c>
      <c r="I62" s="61"/>
      <c r="J62" s="61">
        <f t="shared" si="24"/>
        <v>19667566.65</v>
      </c>
      <c r="K62" s="61">
        <f t="shared" si="2"/>
        <v>1311171.11</v>
      </c>
      <c r="L62" s="18">
        <v>15</v>
      </c>
      <c r="M62" s="68">
        <v>33</v>
      </c>
      <c r="N62" s="18">
        <f t="shared" si="25"/>
        <v>48</v>
      </c>
      <c r="O62" s="69">
        <v>45378</v>
      </c>
      <c r="P62" s="70">
        <v>45742</v>
      </c>
      <c r="Q62" s="18" t="str">
        <f t="shared" si="3"/>
        <v>March</v>
      </c>
      <c r="R62" s="18">
        <f t="shared" si="4"/>
        <v>2024</v>
      </c>
      <c r="S62" s="18" t="s">
        <v>29</v>
      </c>
      <c r="T62" s="18" t="s">
        <v>107</v>
      </c>
      <c r="U62" s="18" t="s">
        <v>31</v>
      </c>
      <c r="V62" s="53" t="s">
        <v>108</v>
      </c>
      <c r="W62" s="77">
        <v>45373</v>
      </c>
      <c r="X62" s="18">
        <f ca="1" t="shared" si="26"/>
        <v>216</v>
      </c>
      <c r="Y62" s="18">
        <f>O62-W62</f>
        <v>5</v>
      </c>
      <c r="Z62" s="64">
        <f t="shared" si="10"/>
        <v>2.2</v>
      </c>
      <c r="AA62" t="str">
        <f t="shared" si="5"/>
        <v>Hares</v>
      </c>
    </row>
    <row r="63" ht="15.75" customHeight="1" spans="1:27">
      <c r="A63" s="18" t="s">
        <v>37</v>
      </c>
      <c r="B63" s="18" t="s">
        <v>91</v>
      </c>
      <c r="C63" s="60" t="s">
        <v>28</v>
      </c>
      <c r="D63" s="53" t="s">
        <v>92</v>
      </c>
      <c r="E63" s="61">
        <v>3790302</v>
      </c>
      <c r="F63" s="61">
        <f t="shared" si="22"/>
        <v>189515.1</v>
      </c>
      <c r="G63" s="61">
        <v>70000</v>
      </c>
      <c r="H63" s="61">
        <f t="shared" si="23"/>
        <v>4049817.1</v>
      </c>
      <c r="I63" s="61">
        <v>0</v>
      </c>
      <c r="J63" s="61">
        <f t="shared" si="24"/>
        <v>4049817.1</v>
      </c>
      <c r="K63" s="61">
        <f t="shared" si="2"/>
        <v>1012454.275</v>
      </c>
      <c r="L63" s="18">
        <v>4</v>
      </c>
      <c r="M63" s="68">
        <v>3</v>
      </c>
      <c r="N63" s="18">
        <f t="shared" si="25"/>
        <v>7</v>
      </c>
      <c r="O63" s="69">
        <v>45379</v>
      </c>
      <c r="P63" s="70">
        <v>45743</v>
      </c>
      <c r="Q63" s="18" t="str">
        <f t="shared" si="3"/>
        <v>March</v>
      </c>
      <c r="R63" s="18">
        <f t="shared" si="4"/>
        <v>2024</v>
      </c>
      <c r="S63" s="18" t="s">
        <v>29</v>
      </c>
      <c r="T63" s="18" t="s">
        <v>29</v>
      </c>
      <c r="U63" s="18"/>
      <c r="V63" s="18"/>
      <c r="W63" s="77"/>
      <c r="X63" s="18">
        <f ca="1" t="shared" si="26"/>
        <v>215</v>
      </c>
      <c r="Y63" s="18"/>
      <c r="Z63" s="64">
        <f t="shared" si="10"/>
        <v>0.75</v>
      </c>
      <c r="AA63" t="str">
        <f t="shared" si="5"/>
        <v>Hares</v>
      </c>
    </row>
    <row r="64" ht="15.75" customHeight="1" spans="1:27">
      <c r="A64" s="18" t="s">
        <v>109</v>
      </c>
      <c r="B64" s="18" t="s">
        <v>27</v>
      </c>
      <c r="C64" s="60" t="s">
        <v>28</v>
      </c>
      <c r="D64" s="60" t="s">
        <v>28</v>
      </c>
      <c r="E64" s="61">
        <f>504665</f>
        <v>504665</v>
      </c>
      <c r="F64" s="61">
        <f t="shared" si="22"/>
        <v>25233.25</v>
      </c>
      <c r="G64" s="61">
        <v>10000</v>
      </c>
      <c r="H64" s="61">
        <f t="shared" si="23"/>
        <v>539898.25</v>
      </c>
      <c r="I64" s="61">
        <v>0</v>
      </c>
      <c r="J64" s="61">
        <f t="shared" si="24"/>
        <v>539898.25</v>
      </c>
      <c r="K64" s="61">
        <f t="shared" si="2"/>
        <v>539898.25</v>
      </c>
      <c r="L64" s="18">
        <v>1</v>
      </c>
      <c r="M64" s="68">
        <v>0</v>
      </c>
      <c r="N64" s="18">
        <f t="shared" si="25"/>
        <v>1</v>
      </c>
      <c r="O64" s="69">
        <v>45392</v>
      </c>
      <c r="P64" s="70">
        <v>45756</v>
      </c>
      <c r="Q64" s="18" t="str">
        <f t="shared" si="3"/>
        <v>April</v>
      </c>
      <c r="R64" s="18">
        <f t="shared" si="4"/>
        <v>2024</v>
      </c>
      <c r="S64" s="18" t="s">
        <v>29</v>
      </c>
      <c r="T64" s="18" t="s">
        <v>107</v>
      </c>
      <c r="U64" s="18" t="s">
        <v>31</v>
      </c>
      <c r="V64" s="53" t="s">
        <v>108</v>
      </c>
      <c r="W64" s="77">
        <v>45387</v>
      </c>
      <c r="X64" s="18">
        <f ca="1" t="shared" si="26"/>
        <v>202</v>
      </c>
      <c r="Y64" s="18">
        <f t="shared" ref="Y64:Y72" si="27">O64-W64</f>
        <v>5</v>
      </c>
      <c r="Z64" s="64">
        <f t="shared" si="10"/>
        <v>0</v>
      </c>
      <c r="AA64" t="str">
        <f t="shared" si="5"/>
        <v>Hares</v>
      </c>
    </row>
    <row r="65" ht="15.75" customHeight="1" spans="1:27">
      <c r="A65" s="18" t="s">
        <v>110</v>
      </c>
      <c r="B65" s="18" t="s">
        <v>27</v>
      </c>
      <c r="C65" s="60" t="s">
        <v>28</v>
      </c>
      <c r="D65" s="60" t="s">
        <v>28</v>
      </c>
      <c r="E65" s="61">
        <v>1766317</v>
      </c>
      <c r="F65" s="61">
        <f t="shared" si="22"/>
        <v>88315.85</v>
      </c>
      <c r="G65" s="61">
        <v>30000</v>
      </c>
      <c r="H65" s="61">
        <f t="shared" si="23"/>
        <v>1884632.85</v>
      </c>
      <c r="I65" s="61">
        <v>0</v>
      </c>
      <c r="J65" s="61">
        <f t="shared" si="24"/>
        <v>1884632.85</v>
      </c>
      <c r="K65" s="61">
        <f t="shared" si="2"/>
        <v>628210.95</v>
      </c>
      <c r="L65" s="18">
        <v>3</v>
      </c>
      <c r="M65" s="68">
        <v>0</v>
      </c>
      <c r="N65" s="18">
        <f t="shared" si="25"/>
        <v>3</v>
      </c>
      <c r="O65" s="69">
        <v>45394</v>
      </c>
      <c r="P65" s="70">
        <v>45758</v>
      </c>
      <c r="Q65" s="18" t="str">
        <f t="shared" si="3"/>
        <v>April</v>
      </c>
      <c r="R65" s="18">
        <f t="shared" si="4"/>
        <v>2024</v>
      </c>
      <c r="S65" s="18" t="s">
        <v>29</v>
      </c>
      <c r="T65" s="18" t="s">
        <v>29</v>
      </c>
      <c r="U65" s="18"/>
      <c r="V65" s="18"/>
      <c r="W65" s="77">
        <v>45394</v>
      </c>
      <c r="X65" s="18">
        <f ca="1" t="shared" si="26"/>
        <v>200</v>
      </c>
      <c r="Y65" s="18">
        <f t="shared" si="27"/>
        <v>0</v>
      </c>
      <c r="Z65" s="64">
        <f t="shared" si="10"/>
        <v>0</v>
      </c>
      <c r="AA65" t="str">
        <f t="shared" si="5"/>
        <v>Hares</v>
      </c>
    </row>
    <row r="66" ht="15.75" customHeight="1" spans="1:27">
      <c r="A66" s="18" t="s">
        <v>111</v>
      </c>
      <c r="B66" s="18" t="s">
        <v>27</v>
      </c>
      <c r="C66" s="60" t="s">
        <v>28</v>
      </c>
      <c r="D66" s="60" t="s">
        <v>28</v>
      </c>
      <c r="E66" s="61">
        <v>654024</v>
      </c>
      <c r="F66" s="61">
        <f t="shared" si="22"/>
        <v>32701.2</v>
      </c>
      <c r="G66" s="61">
        <v>10000</v>
      </c>
      <c r="H66" s="61">
        <f t="shared" si="23"/>
        <v>696725.2</v>
      </c>
      <c r="I66" s="61">
        <v>0</v>
      </c>
      <c r="J66" s="61">
        <f t="shared" si="24"/>
        <v>696725.2</v>
      </c>
      <c r="K66" s="61">
        <f t="shared" ref="K66:K126" si="28">J66/L66</f>
        <v>696725.2</v>
      </c>
      <c r="L66" s="18">
        <v>1</v>
      </c>
      <c r="M66" s="68">
        <v>0</v>
      </c>
      <c r="N66" s="18">
        <f t="shared" si="25"/>
        <v>1</v>
      </c>
      <c r="O66" s="69">
        <v>45394</v>
      </c>
      <c r="P66" s="70">
        <v>45758</v>
      </c>
      <c r="Q66" s="18" t="str">
        <f t="shared" ref="Q66:Q126" si="29">TEXT(O66,"mmmm")</f>
        <v>April</v>
      </c>
      <c r="R66" s="18">
        <f t="shared" ref="R66:R126" si="30">YEAR(O66)</f>
        <v>2024</v>
      </c>
      <c r="S66" s="18" t="s">
        <v>29</v>
      </c>
      <c r="T66" s="18" t="s">
        <v>86</v>
      </c>
      <c r="U66" s="18" t="s">
        <v>31</v>
      </c>
      <c r="V66" s="53" t="s">
        <v>87</v>
      </c>
      <c r="W66" s="77">
        <v>45393</v>
      </c>
      <c r="X66" s="18">
        <f ca="1" t="shared" si="26"/>
        <v>200</v>
      </c>
      <c r="Y66" s="18">
        <f t="shared" si="27"/>
        <v>1</v>
      </c>
      <c r="Z66" s="64">
        <f t="shared" si="10"/>
        <v>0</v>
      </c>
      <c r="AA66" t="str">
        <f t="shared" ref="AA66:AA126" si="31">IF(L66&lt;=29,"Hares",IF(L66&lt;=99,"Tigers",IF(L66&lt;=499,"Elephants","Whales")))</f>
        <v>Hares</v>
      </c>
    </row>
    <row r="67" ht="15.75" customHeight="1" spans="1:27">
      <c r="A67" s="18" t="s">
        <v>112</v>
      </c>
      <c r="B67" s="18" t="s">
        <v>27</v>
      </c>
      <c r="C67" s="60" t="s">
        <v>28</v>
      </c>
      <c r="D67" s="60" t="s">
        <v>28</v>
      </c>
      <c r="E67" s="61">
        <v>43221196.51</v>
      </c>
      <c r="F67" s="61">
        <f t="shared" si="22"/>
        <v>2161059.8255</v>
      </c>
      <c r="G67" s="61">
        <v>1310000</v>
      </c>
      <c r="H67" s="61">
        <f t="shared" si="23"/>
        <v>46692256.3355</v>
      </c>
      <c r="I67" s="61">
        <v>0</v>
      </c>
      <c r="J67" s="61">
        <f t="shared" si="24"/>
        <v>46692256.3355</v>
      </c>
      <c r="K67" s="61">
        <f t="shared" si="28"/>
        <v>536692.601557471</v>
      </c>
      <c r="L67" s="18">
        <f>18+69</f>
        <v>87</v>
      </c>
      <c r="M67" s="68">
        <f>131-87</f>
        <v>44</v>
      </c>
      <c r="N67" s="18">
        <f t="shared" si="25"/>
        <v>131</v>
      </c>
      <c r="O67" s="69">
        <v>45395</v>
      </c>
      <c r="P67" s="70">
        <v>45759</v>
      </c>
      <c r="Q67" s="18" t="str">
        <f t="shared" si="29"/>
        <v>April</v>
      </c>
      <c r="R67" s="18">
        <f t="shared" si="30"/>
        <v>2024</v>
      </c>
      <c r="S67" s="18" t="s">
        <v>29</v>
      </c>
      <c r="T67" s="18" t="s">
        <v>100</v>
      </c>
      <c r="U67" s="18" t="s">
        <v>31</v>
      </c>
      <c r="V67" s="53" t="s">
        <v>32</v>
      </c>
      <c r="W67" s="77">
        <v>45296</v>
      </c>
      <c r="X67" s="18">
        <f ca="1" t="shared" si="26"/>
        <v>199</v>
      </c>
      <c r="Y67" s="18">
        <f t="shared" si="27"/>
        <v>99</v>
      </c>
      <c r="Z67" s="64">
        <f t="shared" si="10"/>
        <v>0.51</v>
      </c>
      <c r="AA67" t="str">
        <f t="shared" si="31"/>
        <v>Tigers</v>
      </c>
    </row>
    <row r="68" ht="15.75" customHeight="1" spans="1:27">
      <c r="A68" s="18" t="s">
        <v>113</v>
      </c>
      <c r="B68" s="18" t="s">
        <v>27</v>
      </c>
      <c r="C68" s="60" t="s">
        <v>28</v>
      </c>
      <c r="D68" s="60" t="s">
        <v>28</v>
      </c>
      <c r="E68" s="61">
        <f>18705931+180981601</f>
        <v>199687532</v>
      </c>
      <c r="F68" s="61">
        <f t="shared" si="22"/>
        <v>9984376.6</v>
      </c>
      <c r="G68" s="61">
        <f>520000+9990000</f>
        <v>10510000</v>
      </c>
      <c r="H68" s="61">
        <f t="shared" si="23"/>
        <v>220181908.6</v>
      </c>
      <c r="I68" s="61">
        <v>0</v>
      </c>
      <c r="J68" s="61">
        <f t="shared" si="24"/>
        <v>220181908.6</v>
      </c>
      <c r="K68" s="61">
        <f t="shared" si="28"/>
        <v>574887.489817232</v>
      </c>
      <c r="L68" s="18">
        <v>383</v>
      </c>
      <c r="M68" s="68">
        <f>1051-383</f>
        <v>668</v>
      </c>
      <c r="N68" s="18">
        <f t="shared" si="25"/>
        <v>1051</v>
      </c>
      <c r="O68" s="69">
        <v>45407</v>
      </c>
      <c r="P68" s="70">
        <v>45771</v>
      </c>
      <c r="Q68" s="18" t="str">
        <f t="shared" si="29"/>
        <v>April</v>
      </c>
      <c r="R68" s="18">
        <f t="shared" si="30"/>
        <v>2024</v>
      </c>
      <c r="S68" s="18" t="s">
        <v>35</v>
      </c>
      <c r="T68" s="18" t="s">
        <v>114</v>
      </c>
      <c r="U68" s="18"/>
      <c r="V68" s="18"/>
      <c r="W68" s="77">
        <v>45384</v>
      </c>
      <c r="X68" s="18">
        <f ca="1" t="shared" si="26"/>
        <v>187</v>
      </c>
      <c r="Y68" s="18">
        <f t="shared" si="27"/>
        <v>23</v>
      </c>
      <c r="Z68" s="64">
        <f t="shared" si="10"/>
        <v>1.74</v>
      </c>
      <c r="AA68" t="str">
        <f t="shared" si="31"/>
        <v>Elephants</v>
      </c>
    </row>
    <row r="69" ht="15.75" customHeight="1" spans="1:27">
      <c r="A69" s="18" t="s">
        <v>115</v>
      </c>
      <c r="B69" s="18" t="s">
        <v>27</v>
      </c>
      <c r="C69" s="60" t="s">
        <v>28</v>
      </c>
      <c r="D69" s="60" t="s">
        <v>28</v>
      </c>
      <c r="E69" s="61">
        <v>1322572</v>
      </c>
      <c r="F69" s="61">
        <f t="shared" si="22"/>
        <v>66128.6</v>
      </c>
      <c r="G69" s="61">
        <v>20000</v>
      </c>
      <c r="H69" s="61">
        <f t="shared" si="23"/>
        <v>1408700.6</v>
      </c>
      <c r="I69" s="61">
        <v>0</v>
      </c>
      <c r="J69" s="61">
        <f t="shared" si="24"/>
        <v>1408700.6</v>
      </c>
      <c r="K69" s="61">
        <f t="shared" si="28"/>
        <v>1408700.6</v>
      </c>
      <c r="L69" s="18">
        <v>1</v>
      </c>
      <c r="M69" s="68">
        <v>1</v>
      </c>
      <c r="N69" s="18">
        <f t="shared" si="25"/>
        <v>2</v>
      </c>
      <c r="O69" s="69">
        <v>45408</v>
      </c>
      <c r="P69" s="70">
        <v>45772</v>
      </c>
      <c r="Q69" s="18" t="str">
        <f t="shared" si="29"/>
        <v>April</v>
      </c>
      <c r="R69" s="18">
        <f t="shared" si="30"/>
        <v>2024</v>
      </c>
      <c r="S69" s="18" t="s">
        <v>41</v>
      </c>
      <c r="T69" s="18" t="s">
        <v>116</v>
      </c>
      <c r="U69" s="18"/>
      <c r="V69" s="18"/>
      <c r="W69" s="77">
        <v>45352</v>
      </c>
      <c r="X69" s="18">
        <f ca="1" t="shared" si="26"/>
        <v>186</v>
      </c>
      <c r="Y69" s="18">
        <f t="shared" si="27"/>
        <v>56</v>
      </c>
      <c r="Z69" s="64">
        <f t="shared" si="10"/>
        <v>1</v>
      </c>
      <c r="AA69" t="str">
        <f t="shared" si="31"/>
        <v>Hares</v>
      </c>
    </row>
    <row r="70" ht="15.75" customHeight="1" spans="1:27">
      <c r="A70" s="18" t="s">
        <v>117</v>
      </c>
      <c r="B70" s="18" t="s">
        <v>27</v>
      </c>
      <c r="C70" s="60" t="s">
        <v>28</v>
      </c>
      <c r="D70" s="60" t="s">
        <v>28</v>
      </c>
      <c r="E70" s="61">
        <f>3751469+63432644</f>
        <v>67184113</v>
      </c>
      <c r="F70" s="61">
        <f t="shared" si="22"/>
        <v>3359205.65</v>
      </c>
      <c r="G70" s="61">
        <f>845000+45000</f>
        <v>890000</v>
      </c>
      <c r="H70" s="61">
        <f t="shared" si="23"/>
        <v>71433318.65</v>
      </c>
      <c r="I70" s="61">
        <v>0</v>
      </c>
      <c r="J70" s="61">
        <f t="shared" si="24"/>
        <v>71433318.65</v>
      </c>
      <c r="K70" s="61">
        <f t="shared" si="28"/>
        <v>830619.984302326</v>
      </c>
      <c r="L70" s="18">
        <v>86</v>
      </c>
      <c r="M70" s="68">
        <f>178-86</f>
        <v>92</v>
      </c>
      <c r="N70" s="18">
        <f t="shared" si="25"/>
        <v>178</v>
      </c>
      <c r="O70" s="69">
        <v>45410</v>
      </c>
      <c r="P70" s="70">
        <v>45774</v>
      </c>
      <c r="Q70" s="18" t="str">
        <f t="shared" si="29"/>
        <v>April</v>
      </c>
      <c r="R70" s="18">
        <f t="shared" si="30"/>
        <v>2024</v>
      </c>
      <c r="S70" s="18" t="s">
        <v>35</v>
      </c>
      <c r="T70" s="18" t="s">
        <v>118</v>
      </c>
      <c r="U70" s="18"/>
      <c r="V70" s="18"/>
      <c r="W70" s="77">
        <v>45384</v>
      </c>
      <c r="X70" s="18">
        <f ca="1" t="shared" si="26"/>
        <v>184</v>
      </c>
      <c r="Y70" s="18">
        <f t="shared" si="27"/>
        <v>26</v>
      </c>
      <c r="Z70" s="64">
        <f t="shared" si="10"/>
        <v>1.07</v>
      </c>
      <c r="AA70" t="str">
        <f t="shared" si="31"/>
        <v>Tigers</v>
      </c>
    </row>
    <row r="71" ht="15.75" customHeight="1" spans="1:27">
      <c r="A71" s="18" t="s">
        <v>119</v>
      </c>
      <c r="B71" s="18" t="s">
        <v>27</v>
      </c>
      <c r="C71" s="60" t="s">
        <v>28</v>
      </c>
      <c r="D71" s="60" t="s">
        <v>28</v>
      </c>
      <c r="E71" s="61">
        <v>12020631</v>
      </c>
      <c r="F71" s="61">
        <f t="shared" si="22"/>
        <v>601031.55</v>
      </c>
      <c r="G71" s="61">
        <v>320000</v>
      </c>
      <c r="H71" s="61">
        <f t="shared" si="23"/>
        <v>12941662.55</v>
      </c>
      <c r="I71" s="61">
        <v>0</v>
      </c>
      <c r="J71" s="61">
        <f t="shared" si="24"/>
        <v>12941662.55</v>
      </c>
      <c r="K71" s="61">
        <f t="shared" si="28"/>
        <v>862777.503333333</v>
      </c>
      <c r="L71" s="18">
        <v>15</v>
      </c>
      <c r="M71" s="68">
        <v>17</v>
      </c>
      <c r="N71" s="18">
        <f t="shared" si="25"/>
        <v>32</v>
      </c>
      <c r="O71" s="69">
        <v>45413</v>
      </c>
      <c r="P71" s="70" t="s">
        <v>120</v>
      </c>
      <c r="Q71" s="18" t="str">
        <f t="shared" si="29"/>
        <v>May</v>
      </c>
      <c r="R71" s="18">
        <f t="shared" si="30"/>
        <v>2024</v>
      </c>
      <c r="S71" s="18" t="s">
        <v>29</v>
      </c>
      <c r="T71" s="18" t="s">
        <v>82</v>
      </c>
      <c r="U71" s="18" t="s">
        <v>31</v>
      </c>
      <c r="V71" s="53" t="s">
        <v>83</v>
      </c>
      <c r="W71" s="77">
        <v>45355</v>
      </c>
      <c r="X71" s="18">
        <f ca="1" t="shared" si="26"/>
        <v>181</v>
      </c>
      <c r="Y71" s="18">
        <f t="shared" si="27"/>
        <v>58</v>
      </c>
      <c r="Z71" s="64">
        <f t="shared" si="10"/>
        <v>1.13</v>
      </c>
      <c r="AA71" t="str">
        <f t="shared" si="31"/>
        <v>Hares</v>
      </c>
    </row>
    <row r="72" ht="15.75" customHeight="1" spans="1:27">
      <c r="A72" s="18" t="s">
        <v>40</v>
      </c>
      <c r="B72" s="18" t="s">
        <v>91</v>
      </c>
      <c r="C72" s="60" t="s">
        <v>28</v>
      </c>
      <c r="D72" s="53" t="s">
        <v>92</v>
      </c>
      <c r="E72" s="61">
        <v>3933752</v>
      </c>
      <c r="F72" s="61">
        <f t="shared" si="22"/>
        <v>196687.6</v>
      </c>
      <c r="G72" s="61">
        <v>80000</v>
      </c>
      <c r="H72" s="61">
        <f t="shared" si="23"/>
        <v>4210439.6</v>
      </c>
      <c r="I72" s="61">
        <v>0</v>
      </c>
      <c r="J72" s="61">
        <f t="shared" si="24"/>
        <v>4210439.6</v>
      </c>
      <c r="K72" s="61">
        <f t="shared" si="28"/>
        <v>601491.371428571</v>
      </c>
      <c r="L72" s="18">
        <v>7</v>
      </c>
      <c r="M72" s="68">
        <v>1</v>
      </c>
      <c r="N72" s="18">
        <f t="shared" si="25"/>
        <v>8</v>
      </c>
      <c r="O72" s="69">
        <v>45413</v>
      </c>
      <c r="P72" s="70" t="s">
        <v>120</v>
      </c>
      <c r="Q72" s="18" t="str">
        <f t="shared" si="29"/>
        <v>May</v>
      </c>
      <c r="R72" s="18">
        <f t="shared" si="30"/>
        <v>2024</v>
      </c>
      <c r="S72" s="18" t="s">
        <v>41</v>
      </c>
      <c r="T72" s="18" t="s">
        <v>104</v>
      </c>
      <c r="U72" s="18" t="s">
        <v>31</v>
      </c>
      <c r="V72" s="18"/>
      <c r="W72" s="77"/>
      <c r="X72" s="18">
        <f ca="1" t="shared" si="26"/>
        <v>181</v>
      </c>
      <c r="Y72" s="18">
        <f t="shared" si="27"/>
        <v>45413</v>
      </c>
      <c r="Z72" s="64">
        <f t="shared" si="10"/>
        <v>0.14</v>
      </c>
      <c r="AA72" t="str">
        <f t="shared" si="31"/>
        <v>Hares</v>
      </c>
    </row>
    <row r="73" ht="15.75" customHeight="1" spans="1:27">
      <c r="A73" s="18" t="s">
        <v>121</v>
      </c>
      <c r="B73" s="18" t="s">
        <v>122</v>
      </c>
      <c r="C73" s="60" t="s">
        <v>28</v>
      </c>
      <c r="D73" s="53" t="s">
        <v>92</v>
      </c>
      <c r="E73" s="61">
        <f>126596+4172897</f>
        <v>4299493</v>
      </c>
      <c r="F73" s="61">
        <f t="shared" si="22"/>
        <v>214974.65</v>
      </c>
      <c r="G73" s="61">
        <f>210000+5000</f>
        <v>215000</v>
      </c>
      <c r="H73" s="61">
        <f t="shared" si="23"/>
        <v>4729467.65</v>
      </c>
      <c r="I73" s="61">
        <f>5299677+630000+113400+169006+15000+2700</f>
        <v>6229783</v>
      </c>
      <c r="J73" s="61">
        <f t="shared" si="24"/>
        <v>10959250.65</v>
      </c>
      <c r="K73" s="61">
        <f t="shared" si="28"/>
        <v>304423.629166667</v>
      </c>
      <c r="L73" s="18">
        <f>35+1</f>
        <v>36</v>
      </c>
      <c r="M73" s="68">
        <v>7</v>
      </c>
      <c r="N73" s="18">
        <f t="shared" si="25"/>
        <v>43</v>
      </c>
      <c r="O73" s="69">
        <v>45420</v>
      </c>
      <c r="P73" s="70">
        <v>45784</v>
      </c>
      <c r="Q73" s="18" t="str">
        <f t="shared" si="29"/>
        <v>May</v>
      </c>
      <c r="R73" s="18">
        <f t="shared" si="30"/>
        <v>2024</v>
      </c>
      <c r="S73" s="18" t="s">
        <v>29</v>
      </c>
      <c r="T73" s="18" t="s">
        <v>30</v>
      </c>
      <c r="U73" s="18" t="s">
        <v>31</v>
      </c>
      <c r="V73" s="53" t="s">
        <v>32</v>
      </c>
      <c r="W73" s="77"/>
      <c r="X73" s="18">
        <f ca="1" t="shared" si="26"/>
        <v>174</v>
      </c>
      <c r="Y73" s="18">
        <v>0</v>
      </c>
      <c r="Z73" s="64">
        <f t="shared" si="10"/>
        <v>0.19</v>
      </c>
      <c r="AA73" t="str">
        <f t="shared" si="31"/>
        <v>Tigers</v>
      </c>
    </row>
    <row r="74" ht="15.75" customHeight="1" spans="1:27">
      <c r="A74" s="18" t="s">
        <v>123</v>
      </c>
      <c r="B74" s="18" t="s">
        <v>27</v>
      </c>
      <c r="C74" s="60" t="s">
        <v>28</v>
      </c>
      <c r="D74" s="60" t="s">
        <v>28</v>
      </c>
      <c r="E74" s="61">
        <v>3897152</v>
      </c>
      <c r="F74" s="61">
        <f t="shared" si="22"/>
        <v>194857.6</v>
      </c>
      <c r="G74" s="61">
        <v>70000</v>
      </c>
      <c r="H74" s="61">
        <f t="shared" si="23"/>
        <v>4162009.6</v>
      </c>
      <c r="I74" s="61">
        <v>0</v>
      </c>
      <c r="J74" s="61">
        <f t="shared" si="24"/>
        <v>4162009.6</v>
      </c>
      <c r="K74" s="61">
        <f t="shared" si="28"/>
        <v>594572.8</v>
      </c>
      <c r="L74" s="18">
        <v>7</v>
      </c>
      <c r="M74" s="68">
        <v>0</v>
      </c>
      <c r="N74" s="18">
        <f t="shared" si="25"/>
        <v>7</v>
      </c>
      <c r="O74" s="69">
        <v>45426</v>
      </c>
      <c r="P74" s="70">
        <v>45790</v>
      </c>
      <c r="Q74" s="18" t="str">
        <f t="shared" si="29"/>
        <v>May</v>
      </c>
      <c r="R74" s="18">
        <f t="shared" si="30"/>
        <v>2024</v>
      </c>
      <c r="S74" s="18" t="s">
        <v>29</v>
      </c>
      <c r="T74" s="18" t="s">
        <v>124</v>
      </c>
      <c r="U74" s="18" t="s">
        <v>31</v>
      </c>
      <c r="V74" s="53" t="s">
        <v>125</v>
      </c>
      <c r="W74" s="77">
        <v>45411</v>
      </c>
      <c r="X74" s="18">
        <f ca="1" t="shared" si="26"/>
        <v>168</v>
      </c>
      <c r="Y74" s="18">
        <f t="shared" ref="Y74:Y100" si="32">O74-W74</f>
        <v>15</v>
      </c>
      <c r="Z74" s="64">
        <f t="shared" si="10"/>
        <v>0</v>
      </c>
      <c r="AA74" t="str">
        <f t="shared" si="31"/>
        <v>Hares</v>
      </c>
    </row>
    <row r="75" ht="15.75" customHeight="1" spans="1:27">
      <c r="A75" s="18" t="s">
        <v>126</v>
      </c>
      <c r="B75" s="18" t="s">
        <v>27</v>
      </c>
      <c r="C75" s="60" t="s">
        <v>28</v>
      </c>
      <c r="D75" s="60" t="s">
        <v>28</v>
      </c>
      <c r="E75" s="61">
        <f>23153292+2402252+2179983+1520025</f>
        <v>29255552</v>
      </c>
      <c r="F75" s="61">
        <f t="shared" si="22"/>
        <v>1462777.6</v>
      </c>
      <c r="G75" s="61">
        <f>20000+30000+25000+240000</f>
        <v>315000</v>
      </c>
      <c r="H75" s="61">
        <f t="shared" si="23"/>
        <v>31033329.6</v>
      </c>
      <c r="I75" s="61">
        <v>0</v>
      </c>
      <c r="J75" s="61">
        <f t="shared" si="24"/>
        <v>31033329.6</v>
      </c>
      <c r="K75" s="61">
        <f t="shared" si="28"/>
        <v>646527.7</v>
      </c>
      <c r="L75" s="18">
        <v>48</v>
      </c>
      <c r="M75" s="68">
        <f>126-48</f>
        <v>78</v>
      </c>
      <c r="N75" s="18">
        <f t="shared" si="25"/>
        <v>126</v>
      </c>
      <c r="O75" s="69">
        <v>45432</v>
      </c>
      <c r="P75" s="70">
        <v>45796</v>
      </c>
      <c r="Q75" s="18" t="str">
        <f t="shared" si="29"/>
        <v>May</v>
      </c>
      <c r="R75" s="18">
        <f t="shared" si="30"/>
        <v>2024</v>
      </c>
      <c r="S75" s="18" t="s">
        <v>41</v>
      </c>
      <c r="T75" s="18" t="s">
        <v>127</v>
      </c>
      <c r="U75" s="18"/>
      <c r="V75" s="18"/>
      <c r="W75" s="77">
        <v>45406</v>
      </c>
      <c r="X75" s="18">
        <f ca="1" t="shared" si="26"/>
        <v>162</v>
      </c>
      <c r="Y75" s="18">
        <f t="shared" si="32"/>
        <v>26</v>
      </c>
      <c r="Z75" s="64">
        <f t="shared" si="10"/>
        <v>1.63</v>
      </c>
      <c r="AA75" t="str">
        <f t="shared" si="31"/>
        <v>Tigers</v>
      </c>
    </row>
    <row r="76" ht="15.75" customHeight="1" spans="1:27">
      <c r="A76" s="18" t="s">
        <v>128</v>
      </c>
      <c r="B76" s="18" t="s">
        <v>27</v>
      </c>
      <c r="C76" s="60" t="s">
        <v>28</v>
      </c>
      <c r="D76" s="60" t="s">
        <v>28</v>
      </c>
      <c r="E76" s="61">
        <v>510698</v>
      </c>
      <c r="F76" s="61">
        <f t="shared" si="22"/>
        <v>25534.9</v>
      </c>
      <c r="G76" s="61">
        <v>10000</v>
      </c>
      <c r="H76" s="61">
        <f t="shared" si="23"/>
        <v>546232.9</v>
      </c>
      <c r="I76" s="61">
        <v>0</v>
      </c>
      <c r="J76" s="61">
        <f t="shared" si="24"/>
        <v>546232.9</v>
      </c>
      <c r="K76" s="61">
        <f t="shared" si="28"/>
        <v>546232.9</v>
      </c>
      <c r="L76" s="18">
        <v>1</v>
      </c>
      <c r="M76" s="68">
        <v>0</v>
      </c>
      <c r="N76" s="18">
        <f t="shared" si="25"/>
        <v>1</v>
      </c>
      <c r="O76" s="69">
        <v>45432</v>
      </c>
      <c r="P76" s="70">
        <v>45796</v>
      </c>
      <c r="Q76" s="18" t="str">
        <f t="shared" si="29"/>
        <v>May</v>
      </c>
      <c r="R76" s="18">
        <f t="shared" si="30"/>
        <v>2024</v>
      </c>
      <c r="S76" s="18" t="s">
        <v>29</v>
      </c>
      <c r="T76" s="18" t="s">
        <v>29</v>
      </c>
      <c r="U76" s="18"/>
      <c r="V76" s="18"/>
      <c r="W76" s="77">
        <v>45430</v>
      </c>
      <c r="X76" s="18">
        <f ca="1" t="shared" si="26"/>
        <v>162</v>
      </c>
      <c r="Y76" s="18">
        <f t="shared" si="32"/>
        <v>2</v>
      </c>
      <c r="Z76" s="64">
        <f t="shared" si="10"/>
        <v>0</v>
      </c>
      <c r="AA76" t="str">
        <f t="shared" si="31"/>
        <v>Hares</v>
      </c>
    </row>
    <row r="77" ht="15.75" customHeight="1" spans="1:27">
      <c r="A77" s="18" t="s">
        <v>129</v>
      </c>
      <c r="B77" s="18" t="s">
        <v>27</v>
      </c>
      <c r="C77" s="60" t="s">
        <v>28</v>
      </c>
      <c r="D77" s="60" t="s">
        <v>28</v>
      </c>
      <c r="E77" s="61">
        <v>727401</v>
      </c>
      <c r="F77" s="61">
        <f t="shared" si="22"/>
        <v>36370.05</v>
      </c>
      <c r="G77" s="61">
        <v>10000</v>
      </c>
      <c r="H77" s="61">
        <f t="shared" si="23"/>
        <v>773771.05</v>
      </c>
      <c r="I77" s="61">
        <v>0</v>
      </c>
      <c r="J77" s="61">
        <f t="shared" si="24"/>
        <v>773771.05</v>
      </c>
      <c r="K77" s="61">
        <f t="shared" si="28"/>
        <v>773771.05</v>
      </c>
      <c r="L77" s="18">
        <v>1</v>
      </c>
      <c r="M77" s="68">
        <v>0</v>
      </c>
      <c r="N77" s="18">
        <f t="shared" si="25"/>
        <v>1</v>
      </c>
      <c r="O77" s="69">
        <v>45435</v>
      </c>
      <c r="P77" s="70">
        <v>45799</v>
      </c>
      <c r="Q77" s="18" t="str">
        <f t="shared" si="29"/>
        <v>May</v>
      </c>
      <c r="R77" s="18">
        <f t="shared" si="30"/>
        <v>2024</v>
      </c>
      <c r="S77" s="18" t="s">
        <v>29</v>
      </c>
      <c r="T77" s="18" t="s">
        <v>29</v>
      </c>
      <c r="U77" s="18"/>
      <c r="V77" s="18"/>
      <c r="W77" s="77">
        <v>45435</v>
      </c>
      <c r="X77" s="18">
        <f ca="1" t="shared" si="26"/>
        <v>159</v>
      </c>
      <c r="Y77" s="18">
        <f t="shared" si="32"/>
        <v>0</v>
      </c>
      <c r="Z77" s="64">
        <f t="shared" si="10"/>
        <v>0</v>
      </c>
      <c r="AA77" t="str">
        <f t="shared" si="31"/>
        <v>Hares</v>
      </c>
    </row>
    <row r="78" ht="15.75" customHeight="1" spans="1:27">
      <c r="A78" s="18" t="s">
        <v>42</v>
      </c>
      <c r="B78" s="65" t="s">
        <v>91</v>
      </c>
      <c r="C78" s="60" t="s">
        <v>28</v>
      </c>
      <c r="D78" s="53" t="s">
        <v>92</v>
      </c>
      <c r="E78" s="61">
        <v>4936395</v>
      </c>
      <c r="F78" s="61">
        <f t="shared" si="22"/>
        <v>246819.75</v>
      </c>
      <c r="G78" s="61">
        <v>0</v>
      </c>
      <c r="H78" s="61">
        <f t="shared" si="23"/>
        <v>5183214.75</v>
      </c>
      <c r="I78" s="61">
        <f>180000+15000+2700+7500000+810000+145800</f>
        <v>8653500</v>
      </c>
      <c r="J78" s="61">
        <f t="shared" si="24"/>
        <v>13836714.75</v>
      </c>
      <c r="K78" s="61">
        <f t="shared" si="28"/>
        <v>432397.3359375</v>
      </c>
      <c r="L78" s="18">
        <v>32</v>
      </c>
      <c r="M78" s="68">
        <f>55-32</f>
        <v>23</v>
      </c>
      <c r="N78" s="18">
        <f t="shared" si="25"/>
        <v>55</v>
      </c>
      <c r="O78" s="83">
        <v>45439</v>
      </c>
      <c r="P78" s="84">
        <v>45803</v>
      </c>
      <c r="Q78" s="18" t="str">
        <f t="shared" si="29"/>
        <v>May</v>
      </c>
      <c r="R78" s="18">
        <f t="shared" si="30"/>
        <v>2024</v>
      </c>
      <c r="S78" s="18" t="s">
        <v>41</v>
      </c>
      <c r="T78" s="18" t="s">
        <v>104</v>
      </c>
      <c r="U78" s="18" t="s">
        <v>31</v>
      </c>
      <c r="V78" s="18"/>
      <c r="W78" s="87">
        <v>45379</v>
      </c>
      <c r="X78" s="18">
        <f ca="1" t="shared" si="26"/>
        <v>155</v>
      </c>
      <c r="Y78" s="18">
        <f t="shared" si="32"/>
        <v>60</v>
      </c>
      <c r="Z78" s="64">
        <f t="shared" si="10"/>
        <v>0.72</v>
      </c>
      <c r="AA78" t="str">
        <f t="shared" si="31"/>
        <v>Tigers</v>
      </c>
    </row>
    <row r="79" ht="15.75" customHeight="1" spans="1:27">
      <c r="A79" s="18" t="s">
        <v>130</v>
      </c>
      <c r="B79" s="18" t="s">
        <v>27</v>
      </c>
      <c r="C79" s="60" t="s">
        <v>28</v>
      </c>
      <c r="D79" s="60" t="s">
        <v>28</v>
      </c>
      <c r="E79" s="61">
        <v>1277471</v>
      </c>
      <c r="F79" s="61">
        <f t="shared" si="22"/>
        <v>63873.55</v>
      </c>
      <c r="G79" s="61">
        <v>30000</v>
      </c>
      <c r="H79" s="61">
        <f t="shared" si="23"/>
        <v>1371344.55</v>
      </c>
      <c r="I79" s="61">
        <v>0</v>
      </c>
      <c r="J79" s="61">
        <f t="shared" si="24"/>
        <v>1371344.55</v>
      </c>
      <c r="K79" s="61">
        <f t="shared" si="28"/>
        <v>1371344.55</v>
      </c>
      <c r="L79" s="18">
        <v>1</v>
      </c>
      <c r="M79" s="68">
        <v>2</v>
      </c>
      <c r="N79" s="18">
        <f t="shared" si="25"/>
        <v>3</v>
      </c>
      <c r="O79" s="69">
        <v>45441</v>
      </c>
      <c r="P79" s="70">
        <v>45807</v>
      </c>
      <c r="Q79" s="18" t="str">
        <f t="shared" si="29"/>
        <v>May</v>
      </c>
      <c r="R79" s="18">
        <f t="shared" si="30"/>
        <v>2024</v>
      </c>
      <c r="S79" s="18" t="s">
        <v>29</v>
      </c>
      <c r="T79" s="18" t="s">
        <v>131</v>
      </c>
      <c r="U79" s="18" t="s">
        <v>31</v>
      </c>
      <c r="V79" s="53" t="s">
        <v>83</v>
      </c>
      <c r="W79" s="77">
        <v>45421</v>
      </c>
      <c r="X79" s="18">
        <f ca="1" t="shared" si="26"/>
        <v>153</v>
      </c>
      <c r="Y79" s="18">
        <f t="shared" si="32"/>
        <v>20</v>
      </c>
      <c r="Z79" s="64">
        <f t="shared" si="10"/>
        <v>2</v>
      </c>
      <c r="AA79" t="str">
        <f t="shared" si="31"/>
        <v>Hares</v>
      </c>
    </row>
    <row r="80" ht="15.75" customHeight="1" spans="1:27">
      <c r="A80" s="18" t="s">
        <v>132</v>
      </c>
      <c r="B80" s="18" t="s">
        <v>27</v>
      </c>
      <c r="C80" s="60" t="s">
        <v>28</v>
      </c>
      <c r="D80" s="60" t="s">
        <v>28</v>
      </c>
      <c r="E80" s="61">
        <v>519366</v>
      </c>
      <c r="F80" s="61">
        <f t="shared" si="22"/>
        <v>25968.3</v>
      </c>
      <c r="G80" s="61">
        <v>10000</v>
      </c>
      <c r="H80" s="61">
        <f t="shared" si="23"/>
        <v>555334.3</v>
      </c>
      <c r="I80" s="61">
        <v>0</v>
      </c>
      <c r="J80" s="61">
        <f t="shared" si="24"/>
        <v>555334.3</v>
      </c>
      <c r="K80" s="61">
        <f t="shared" si="28"/>
        <v>555334.3</v>
      </c>
      <c r="L80" s="18">
        <v>1</v>
      </c>
      <c r="M80" s="68">
        <v>0</v>
      </c>
      <c r="N80" s="18">
        <f t="shared" si="25"/>
        <v>1</v>
      </c>
      <c r="O80" s="69">
        <v>45443</v>
      </c>
      <c r="P80" s="70">
        <v>45807</v>
      </c>
      <c r="Q80" s="18" t="str">
        <f t="shared" si="29"/>
        <v>May</v>
      </c>
      <c r="R80" s="18">
        <f t="shared" si="30"/>
        <v>2024</v>
      </c>
      <c r="S80" s="18" t="s">
        <v>29</v>
      </c>
      <c r="T80" s="18" t="s">
        <v>30</v>
      </c>
      <c r="U80" s="18" t="s">
        <v>31</v>
      </c>
      <c r="V80" s="53" t="s">
        <v>32</v>
      </c>
      <c r="W80" s="77">
        <v>45442</v>
      </c>
      <c r="X80" s="18">
        <f ca="1" t="shared" si="26"/>
        <v>151</v>
      </c>
      <c r="Y80" s="18">
        <f t="shared" si="32"/>
        <v>1</v>
      </c>
      <c r="Z80" s="64">
        <f t="shared" si="10"/>
        <v>0</v>
      </c>
      <c r="AA80" t="str">
        <f t="shared" si="31"/>
        <v>Hares</v>
      </c>
    </row>
    <row r="81" ht="15.75" customHeight="1" spans="1:27">
      <c r="A81" s="18" t="s">
        <v>133</v>
      </c>
      <c r="B81" s="18" t="s">
        <v>27</v>
      </c>
      <c r="C81" s="60" t="s">
        <v>28</v>
      </c>
      <c r="D81" s="60" t="s">
        <v>28</v>
      </c>
      <c r="E81" s="61">
        <v>131969250</v>
      </c>
      <c r="F81" s="61">
        <f t="shared" si="22"/>
        <v>6598462.5</v>
      </c>
      <c r="G81" s="61">
        <v>1527500</v>
      </c>
      <c r="H81" s="61">
        <f t="shared" si="23"/>
        <v>140095212.5</v>
      </c>
      <c r="I81" s="61">
        <v>0</v>
      </c>
      <c r="J81" s="61">
        <f t="shared" si="24"/>
        <v>140095212.5</v>
      </c>
      <c r="K81" s="61">
        <f t="shared" si="28"/>
        <v>741244.510582011</v>
      </c>
      <c r="L81" s="18">
        <v>189</v>
      </c>
      <c r="M81" s="68">
        <f>611-L81</f>
        <v>422</v>
      </c>
      <c r="N81" s="18">
        <f t="shared" si="25"/>
        <v>611</v>
      </c>
      <c r="O81" s="69">
        <v>45444</v>
      </c>
      <c r="P81" s="70">
        <v>45808</v>
      </c>
      <c r="Q81" s="18" t="str">
        <f t="shared" si="29"/>
        <v>June</v>
      </c>
      <c r="R81" s="18">
        <f t="shared" si="30"/>
        <v>2024</v>
      </c>
      <c r="S81" s="18" t="s">
        <v>35</v>
      </c>
      <c r="T81" s="18" t="s">
        <v>134</v>
      </c>
      <c r="U81" s="18"/>
      <c r="V81" s="18"/>
      <c r="W81" s="77">
        <v>45411</v>
      </c>
      <c r="X81" s="18">
        <f ca="1" t="shared" si="26"/>
        <v>150</v>
      </c>
      <c r="Y81" s="18">
        <f t="shared" si="32"/>
        <v>33</v>
      </c>
      <c r="Z81" s="64">
        <f t="shared" si="10"/>
        <v>2.23</v>
      </c>
      <c r="AA81" t="str">
        <f t="shared" si="31"/>
        <v>Elephants</v>
      </c>
    </row>
    <row r="82" ht="15.75" customHeight="1" spans="1:27">
      <c r="A82" s="18" t="s">
        <v>135</v>
      </c>
      <c r="B82" s="18" t="s">
        <v>27</v>
      </c>
      <c r="C82" s="60" t="s">
        <v>28</v>
      </c>
      <c r="D82" s="60" t="s">
        <v>28</v>
      </c>
      <c r="E82" s="61">
        <v>11530052</v>
      </c>
      <c r="F82" s="61">
        <f t="shared" si="22"/>
        <v>576502.6</v>
      </c>
      <c r="G82" s="61">
        <v>170000</v>
      </c>
      <c r="H82" s="61">
        <f t="shared" si="23"/>
        <v>12276554.6</v>
      </c>
      <c r="I82" s="61">
        <v>0</v>
      </c>
      <c r="J82" s="61">
        <f t="shared" si="24"/>
        <v>12276554.6</v>
      </c>
      <c r="K82" s="61">
        <f t="shared" si="28"/>
        <v>876896.757142857</v>
      </c>
      <c r="L82" s="18">
        <v>14</v>
      </c>
      <c r="M82" s="68">
        <v>3</v>
      </c>
      <c r="N82" s="18">
        <f t="shared" si="25"/>
        <v>17</v>
      </c>
      <c r="O82" s="69">
        <v>45444</v>
      </c>
      <c r="P82" s="70">
        <v>45808</v>
      </c>
      <c r="Q82" s="18" t="str">
        <f t="shared" si="29"/>
        <v>June</v>
      </c>
      <c r="R82" s="18">
        <f t="shared" si="30"/>
        <v>2024</v>
      </c>
      <c r="S82" s="18" t="s">
        <v>29</v>
      </c>
      <c r="T82" s="18" t="s">
        <v>29</v>
      </c>
      <c r="U82" s="18"/>
      <c r="V82" s="18"/>
      <c r="W82" s="77">
        <v>45429</v>
      </c>
      <c r="X82" s="18">
        <f ca="1" t="shared" si="26"/>
        <v>150</v>
      </c>
      <c r="Y82" s="18">
        <f t="shared" si="32"/>
        <v>15</v>
      </c>
      <c r="Z82" s="64">
        <f t="shared" si="10"/>
        <v>0.21</v>
      </c>
      <c r="AA82" t="str">
        <f t="shared" si="31"/>
        <v>Hares</v>
      </c>
    </row>
    <row r="83" ht="15.75" customHeight="1" spans="1:27">
      <c r="A83" s="18" t="s">
        <v>136</v>
      </c>
      <c r="B83" s="18" t="s">
        <v>27</v>
      </c>
      <c r="C83" s="60" t="s">
        <v>28</v>
      </c>
      <c r="D83" s="60" t="s">
        <v>28</v>
      </c>
      <c r="E83" s="61">
        <v>58386990.541</v>
      </c>
      <c r="F83" s="61">
        <f t="shared" si="22"/>
        <v>2919349.52705</v>
      </c>
      <c r="G83" s="61">
        <v>1635000</v>
      </c>
      <c r="H83" s="61">
        <f t="shared" si="23"/>
        <v>62941340.06805</v>
      </c>
      <c r="I83" s="61">
        <v>0</v>
      </c>
      <c r="J83" s="61">
        <f t="shared" si="24"/>
        <v>62941340.06805</v>
      </c>
      <c r="K83" s="61">
        <f t="shared" si="28"/>
        <v>440149.231245105</v>
      </c>
      <c r="L83" s="18">
        <v>143</v>
      </c>
      <c r="M83" s="68">
        <f>338-L83</f>
        <v>195</v>
      </c>
      <c r="N83" s="18">
        <f t="shared" si="25"/>
        <v>338</v>
      </c>
      <c r="O83" s="69">
        <v>45444</v>
      </c>
      <c r="P83" s="70">
        <v>45808</v>
      </c>
      <c r="Q83" s="18" t="str">
        <f t="shared" si="29"/>
        <v>June</v>
      </c>
      <c r="R83" s="18">
        <f t="shared" si="30"/>
        <v>2024</v>
      </c>
      <c r="S83" s="18" t="s">
        <v>35</v>
      </c>
      <c r="T83" s="18" t="s">
        <v>114</v>
      </c>
      <c r="U83" s="18"/>
      <c r="V83" s="18"/>
      <c r="W83" s="77">
        <v>45345</v>
      </c>
      <c r="X83" s="18">
        <f ca="1" t="shared" si="26"/>
        <v>150</v>
      </c>
      <c r="Y83" s="18">
        <f t="shared" si="32"/>
        <v>99</v>
      </c>
      <c r="Z83" s="64">
        <f t="shared" si="10"/>
        <v>1.36</v>
      </c>
      <c r="AA83" t="str">
        <f t="shared" si="31"/>
        <v>Elephants</v>
      </c>
    </row>
    <row r="84" ht="15.75" customHeight="1" spans="1:27">
      <c r="A84" s="18" t="s">
        <v>137</v>
      </c>
      <c r="B84" s="18" t="s">
        <v>27</v>
      </c>
      <c r="C84" s="60" t="s">
        <v>28</v>
      </c>
      <c r="D84" s="60" t="s">
        <v>28</v>
      </c>
      <c r="E84" s="61">
        <v>1476299</v>
      </c>
      <c r="F84" s="61">
        <f t="shared" si="22"/>
        <v>73814.95</v>
      </c>
      <c r="G84" s="61">
        <v>20000</v>
      </c>
      <c r="H84" s="61">
        <f t="shared" si="23"/>
        <v>1570113.95</v>
      </c>
      <c r="I84" s="61">
        <v>0</v>
      </c>
      <c r="J84" s="61">
        <f t="shared" si="24"/>
        <v>1570113.95</v>
      </c>
      <c r="K84" s="61">
        <f t="shared" si="28"/>
        <v>1570113.95</v>
      </c>
      <c r="L84" s="18">
        <v>1</v>
      </c>
      <c r="M84" s="68">
        <v>1</v>
      </c>
      <c r="N84" s="18">
        <f t="shared" si="25"/>
        <v>2</v>
      </c>
      <c r="O84" s="69">
        <v>45453</v>
      </c>
      <c r="P84" s="70">
        <v>45817</v>
      </c>
      <c r="Q84" s="18" t="str">
        <f t="shared" si="29"/>
        <v>June</v>
      </c>
      <c r="R84" s="18">
        <f t="shared" si="30"/>
        <v>2024</v>
      </c>
      <c r="S84" s="18" t="s">
        <v>35</v>
      </c>
      <c r="T84" s="18" t="s">
        <v>138</v>
      </c>
      <c r="U84" s="18"/>
      <c r="V84" s="18"/>
      <c r="W84" s="77">
        <v>45436</v>
      </c>
      <c r="X84" s="18">
        <f ca="1" t="shared" si="26"/>
        <v>141</v>
      </c>
      <c r="Y84" s="18">
        <f t="shared" si="32"/>
        <v>17</v>
      </c>
      <c r="Z84" s="64">
        <f t="shared" si="10"/>
        <v>1</v>
      </c>
      <c r="AA84" t="str">
        <f t="shared" si="31"/>
        <v>Hares</v>
      </c>
    </row>
    <row r="85" ht="15.75" customHeight="1" spans="1:27">
      <c r="A85" s="18" t="s">
        <v>139</v>
      </c>
      <c r="B85" s="18" t="s">
        <v>27</v>
      </c>
      <c r="C85" s="60" t="s">
        <v>28</v>
      </c>
      <c r="D85" s="60" t="s">
        <v>28</v>
      </c>
      <c r="E85" s="61">
        <v>1111499</v>
      </c>
      <c r="F85" s="61">
        <f t="shared" si="22"/>
        <v>55574.95</v>
      </c>
      <c r="G85" s="61">
        <v>20000</v>
      </c>
      <c r="H85" s="61">
        <f t="shared" si="23"/>
        <v>1187073.95</v>
      </c>
      <c r="I85" s="61">
        <v>0</v>
      </c>
      <c r="J85" s="61">
        <f t="shared" si="24"/>
        <v>1187073.95</v>
      </c>
      <c r="K85" s="61">
        <f t="shared" si="28"/>
        <v>1187073.95</v>
      </c>
      <c r="L85" s="18">
        <v>1</v>
      </c>
      <c r="M85" s="68">
        <v>1</v>
      </c>
      <c r="N85" s="18">
        <f t="shared" si="25"/>
        <v>2</v>
      </c>
      <c r="O85" s="69">
        <v>45453</v>
      </c>
      <c r="P85" s="70">
        <v>45817</v>
      </c>
      <c r="Q85" s="18" t="str">
        <f t="shared" si="29"/>
        <v>June</v>
      </c>
      <c r="R85" s="18">
        <f t="shared" si="30"/>
        <v>2024</v>
      </c>
      <c r="S85" s="18" t="s">
        <v>29</v>
      </c>
      <c r="T85" s="18" t="s">
        <v>86</v>
      </c>
      <c r="U85" s="18" t="s">
        <v>31</v>
      </c>
      <c r="V85" s="53" t="s">
        <v>87</v>
      </c>
      <c r="W85" s="77">
        <v>45439</v>
      </c>
      <c r="X85" s="18">
        <f ca="1" t="shared" si="26"/>
        <v>141</v>
      </c>
      <c r="Y85" s="18">
        <f t="shared" si="32"/>
        <v>14</v>
      </c>
      <c r="Z85" s="64">
        <f t="shared" si="10"/>
        <v>1</v>
      </c>
      <c r="AA85" t="str">
        <f t="shared" si="31"/>
        <v>Hares</v>
      </c>
    </row>
    <row r="86" ht="15.75" customHeight="1" spans="1:27">
      <c r="A86" s="18" t="s">
        <v>140</v>
      </c>
      <c r="B86" s="18" t="s">
        <v>27</v>
      </c>
      <c r="C86" s="60" t="s">
        <v>28</v>
      </c>
      <c r="D86" s="60" t="s">
        <v>28</v>
      </c>
      <c r="E86" s="61">
        <v>1240172</v>
      </c>
      <c r="F86" s="61">
        <f t="shared" si="22"/>
        <v>62008.6</v>
      </c>
      <c r="G86" s="61">
        <v>20000</v>
      </c>
      <c r="H86" s="61">
        <f t="shared" si="23"/>
        <v>1322180.6</v>
      </c>
      <c r="I86" s="61">
        <v>0</v>
      </c>
      <c r="J86" s="61">
        <f t="shared" si="24"/>
        <v>1322180.6</v>
      </c>
      <c r="K86" s="61">
        <f t="shared" si="28"/>
        <v>661090.3</v>
      </c>
      <c r="L86" s="18">
        <v>2</v>
      </c>
      <c r="M86" s="68">
        <v>0</v>
      </c>
      <c r="N86" s="18">
        <f t="shared" si="25"/>
        <v>2</v>
      </c>
      <c r="O86" s="69">
        <v>45455</v>
      </c>
      <c r="P86" s="70">
        <v>45819</v>
      </c>
      <c r="Q86" s="18" t="str">
        <f t="shared" si="29"/>
        <v>June</v>
      </c>
      <c r="R86" s="18">
        <f t="shared" si="30"/>
        <v>2024</v>
      </c>
      <c r="S86" s="18" t="s">
        <v>29</v>
      </c>
      <c r="T86" s="18" t="s">
        <v>29</v>
      </c>
      <c r="U86" s="18"/>
      <c r="V86" s="18"/>
      <c r="W86" s="77">
        <v>45414</v>
      </c>
      <c r="X86" s="18">
        <f ca="1" t="shared" si="26"/>
        <v>139</v>
      </c>
      <c r="Y86" s="18">
        <f t="shared" si="32"/>
        <v>41</v>
      </c>
      <c r="Z86" s="64">
        <f t="shared" si="10"/>
        <v>0</v>
      </c>
      <c r="AA86" t="str">
        <f t="shared" si="31"/>
        <v>Hares</v>
      </c>
    </row>
    <row r="87" ht="15.75" customHeight="1" spans="1:27">
      <c r="A87" s="18" t="s">
        <v>141</v>
      </c>
      <c r="B87" s="18" t="s">
        <v>27</v>
      </c>
      <c r="C87" s="60" t="s">
        <v>28</v>
      </c>
      <c r="D87" s="60" t="s">
        <v>28</v>
      </c>
      <c r="E87" s="61">
        <v>2839401</v>
      </c>
      <c r="F87" s="61">
        <f t="shared" si="22"/>
        <v>141970.05</v>
      </c>
      <c r="G87" s="61">
        <v>50000</v>
      </c>
      <c r="H87" s="61">
        <f t="shared" si="23"/>
        <v>3031371.05</v>
      </c>
      <c r="I87" s="61">
        <v>0</v>
      </c>
      <c r="J87" s="61">
        <f t="shared" si="24"/>
        <v>3031371.05</v>
      </c>
      <c r="K87" s="61">
        <f t="shared" si="28"/>
        <v>3031371.05</v>
      </c>
      <c r="L87" s="18">
        <v>1</v>
      </c>
      <c r="M87" s="68">
        <v>4</v>
      </c>
      <c r="N87" s="18">
        <f t="shared" si="25"/>
        <v>5</v>
      </c>
      <c r="O87" s="69">
        <v>45455</v>
      </c>
      <c r="P87" s="70">
        <v>45835</v>
      </c>
      <c r="Q87" s="18" t="str">
        <f t="shared" si="29"/>
        <v>June</v>
      </c>
      <c r="R87" s="18">
        <f t="shared" si="30"/>
        <v>2024</v>
      </c>
      <c r="S87" s="18" t="s">
        <v>29</v>
      </c>
      <c r="T87" s="18" t="s">
        <v>29</v>
      </c>
      <c r="U87" s="18"/>
      <c r="V87" s="18"/>
      <c r="W87" s="77">
        <v>45405</v>
      </c>
      <c r="X87" s="18">
        <f ca="1" t="shared" si="26"/>
        <v>139</v>
      </c>
      <c r="Y87" s="18">
        <f t="shared" si="32"/>
        <v>50</v>
      </c>
      <c r="Z87" s="64">
        <f t="shared" si="10"/>
        <v>4</v>
      </c>
      <c r="AA87" t="str">
        <f t="shared" si="31"/>
        <v>Hares</v>
      </c>
    </row>
    <row r="88" ht="15.75" customHeight="1" spans="1:27">
      <c r="A88" s="18" t="s">
        <v>142</v>
      </c>
      <c r="B88" s="18" t="s">
        <v>27</v>
      </c>
      <c r="C88" s="60" t="s">
        <v>28</v>
      </c>
      <c r="D88" s="60" t="s">
        <v>28</v>
      </c>
      <c r="E88" s="61">
        <v>456030</v>
      </c>
      <c r="F88" s="61">
        <f t="shared" si="22"/>
        <v>22801.5</v>
      </c>
      <c r="G88" s="61">
        <v>10000</v>
      </c>
      <c r="H88" s="61">
        <f t="shared" si="23"/>
        <v>488831.5</v>
      </c>
      <c r="I88" s="61">
        <v>0</v>
      </c>
      <c r="J88" s="61">
        <f t="shared" si="24"/>
        <v>488831.5</v>
      </c>
      <c r="K88" s="61">
        <f t="shared" si="28"/>
        <v>488831.5</v>
      </c>
      <c r="L88" s="18">
        <v>1</v>
      </c>
      <c r="M88" s="68">
        <v>0</v>
      </c>
      <c r="N88" s="18">
        <f t="shared" si="25"/>
        <v>1</v>
      </c>
      <c r="O88" s="69">
        <v>45455</v>
      </c>
      <c r="P88" s="70">
        <v>45835</v>
      </c>
      <c r="Q88" s="18" t="str">
        <f t="shared" si="29"/>
        <v>June</v>
      </c>
      <c r="R88" s="18">
        <f t="shared" si="30"/>
        <v>2024</v>
      </c>
      <c r="S88" s="18" t="s">
        <v>29</v>
      </c>
      <c r="T88" s="18" t="s">
        <v>29</v>
      </c>
      <c r="U88" s="18"/>
      <c r="V88" s="18"/>
      <c r="W88" s="77">
        <v>45448</v>
      </c>
      <c r="X88" s="18">
        <f ca="1" t="shared" si="26"/>
        <v>139</v>
      </c>
      <c r="Y88" s="18">
        <f t="shared" si="32"/>
        <v>7</v>
      </c>
      <c r="Z88" s="64">
        <f t="shared" si="10"/>
        <v>0</v>
      </c>
      <c r="AA88" t="str">
        <f t="shared" si="31"/>
        <v>Hares</v>
      </c>
    </row>
    <row r="89" ht="15.75" customHeight="1" spans="1:27">
      <c r="A89" s="18" t="s">
        <v>143</v>
      </c>
      <c r="B89" s="18" t="s">
        <v>27</v>
      </c>
      <c r="C89" s="60" t="s">
        <v>28</v>
      </c>
      <c r="D89" s="60" t="s">
        <v>28</v>
      </c>
      <c r="E89" s="61">
        <v>510698</v>
      </c>
      <c r="F89" s="61">
        <f t="shared" si="22"/>
        <v>25534.9</v>
      </c>
      <c r="G89" s="61">
        <v>10000</v>
      </c>
      <c r="H89" s="61">
        <f t="shared" si="23"/>
        <v>546232.9</v>
      </c>
      <c r="I89" s="61">
        <v>0</v>
      </c>
      <c r="J89" s="61">
        <f t="shared" si="24"/>
        <v>546232.9</v>
      </c>
      <c r="K89" s="61">
        <f t="shared" si="28"/>
        <v>546232.9</v>
      </c>
      <c r="L89" s="18">
        <v>1</v>
      </c>
      <c r="M89" s="68">
        <v>0</v>
      </c>
      <c r="N89" s="18">
        <f t="shared" si="25"/>
        <v>1</v>
      </c>
      <c r="O89" s="69">
        <v>45456</v>
      </c>
      <c r="P89" s="70">
        <v>45820</v>
      </c>
      <c r="Q89" s="18" t="str">
        <f t="shared" si="29"/>
        <v>June</v>
      </c>
      <c r="R89" s="18">
        <f t="shared" si="30"/>
        <v>2024</v>
      </c>
      <c r="S89" s="18" t="s">
        <v>29</v>
      </c>
      <c r="T89" s="18" t="s">
        <v>29</v>
      </c>
      <c r="U89" s="18"/>
      <c r="V89" s="18"/>
      <c r="W89" s="77">
        <v>45455</v>
      </c>
      <c r="X89" s="18">
        <f ca="1" t="shared" si="26"/>
        <v>138</v>
      </c>
      <c r="Y89" s="18">
        <f t="shared" si="32"/>
        <v>1</v>
      </c>
      <c r="Z89" s="64">
        <f t="shared" si="10"/>
        <v>0</v>
      </c>
      <c r="AA89" t="str">
        <f t="shared" si="31"/>
        <v>Hares</v>
      </c>
    </row>
    <row r="90" ht="15.75" customHeight="1" spans="1:27">
      <c r="A90" s="18" t="s">
        <v>144</v>
      </c>
      <c r="B90" s="18" t="s">
        <v>27</v>
      </c>
      <c r="C90" s="60" t="s">
        <v>28</v>
      </c>
      <c r="D90" s="60" t="s">
        <v>28</v>
      </c>
      <c r="E90" s="61">
        <v>1499117</v>
      </c>
      <c r="F90" s="61">
        <f t="shared" si="22"/>
        <v>74955.85</v>
      </c>
      <c r="G90" s="61">
        <v>30000</v>
      </c>
      <c r="H90" s="61">
        <f t="shared" si="23"/>
        <v>1604072.85</v>
      </c>
      <c r="I90" s="61">
        <v>0</v>
      </c>
      <c r="J90" s="61">
        <f t="shared" si="24"/>
        <v>1604072.85</v>
      </c>
      <c r="K90" s="61">
        <f t="shared" si="28"/>
        <v>1604072.85</v>
      </c>
      <c r="L90" s="18">
        <v>1</v>
      </c>
      <c r="M90" s="68">
        <v>2</v>
      </c>
      <c r="N90" s="18">
        <f t="shared" si="25"/>
        <v>3</v>
      </c>
      <c r="O90" s="69">
        <v>45456</v>
      </c>
      <c r="P90" s="70">
        <v>45820</v>
      </c>
      <c r="Q90" s="18" t="str">
        <f t="shared" si="29"/>
        <v>June</v>
      </c>
      <c r="R90" s="18">
        <f t="shared" si="30"/>
        <v>2024</v>
      </c>
      <c r="S90" s="18" t="s">
        <v>29</v>
      </c>
      <c r="T90" s="18" t="s">
        <v>29</v>
      </c>
      <c r="U90" s="18"/>
      <c r="V90" s="18"/>
      <c r="W90" s="77">
        <v>45453</v>
      </c>
      <c r="X90" s="18">
        <f ca="1" t="shared" si="26"/>
        <v>138</v>
      </c>
      <c r="Y90" s="18">
        <f t="shared" si="32"/>
        <v>3</v>
      </c>
      <c r="Z90" s="64">
        <f t="shared" si="10"/>
        <v>2</v>
      </c>
      <c r="AA90" t="str">
        <f t="shared" si="31"/>
        <v>Hares</v>
      </c>
    </row>
    <row r="91" customHeight="1" spans="1:29">
      <c r="A91" s="18" t="s">
        <v>43</v>
      </c>
      <c r="B91" s="65" t="s">
        <v>91</v>
      </c>
      <c r="C91" s="60" t="s">
        <v>28</v>
      </c>
      <c r="D91" s="53" t="s">
        <v>92</v>
      </c>
      <c r="E91" s="61">
        <v>6794224</v>
      </c>
      <c r="F91" s="61">
        <f t="shared" si="22"/>
        <v>339711.2</v>
      </c>
      <c r="G91" s="61">
        <v>70000</v>
      </c>
      <c r="H91" s="61">
        <f t="shared" si="23"/>
        <v>7203935.2</v>
      </c>
      <c r="I91" s="61">
        <v>0</v>
      </c>
      <c r="J91" s="61">
        <f t="shared" si="24"/>
        <v>7203935.2</v>
      </c>
      <c r="K91" s="61">
        <f t="shared" si="28"/>
        <v>1200655.86666667</v>
      </c>
      <c r="L91" s="18">
        <v>6</v>
      </c>
      <c r="M91" s="68">
        <v>8</v>
      </c>
      <c r="N91" s="18">
        <f t="shared" si="25"/>
        <v>14</v>
      </c>
      <c r="O91" s="83">
        <v>45459</v>
      </c>
      <c r="P91" s="84">
        <v>45823</v>
      </c>
      <c r="Q91" s="18" t="str">
        <f t="shared" si="29"/>
        <v>June</v>
      </c>
      <c r="R91" s="18">
        <f t="shared" si="30"/>
        <v>2024</v>
      </c>
      <c r="S91" s="18" t="s">
        <v>35</v>
      </c>
      <c r="T91" s="18" t="s">
        <v>114</v>
      </c>
      <c r="U91" s="18"/>
      <c r="V91" s="18"/>
      <c r="W91" s="87">
        <v>45419</v>
      </c>
      <c r="X91" s="18">
        <f ca="1" t="shared" si="26"/>
        <v>135</v>
      </c>
      <c r="Y91" s="18">
        <f t="shared" si="32"/>
        <v>40</v>
      </c>
      <c r="Z91" s="64">
        <f t="shared" si="10"/>
        <v>1.33</v>
      </c>
      <c r="AA91" t="str">
        <f t="shared" si="31"/>
        <v>Hares</v>
      </c>
      <c r="AB91" s="16"/>
      <c r="AC91" s="16"/>
    </row>
    <row r="92" customHeight="1" spans="1:29">
      <c r="A92" s="18" t="s">
        <v>145</v>
      </c>
      <c r="B92" s="18" t="s">
        <v>27</v>
      </c>
      <c r="C92" s="60" t="s">
        <v>28</v>
      </c>
      <c r="D92" s="60" t="s">
        <v>28</v>
      </c>
      <c r="E92" s="61">
        <v>157313</v>
      </c>
      <c r="F92" s="61">
        <f t="shared" si="22"/>
        <v>7865.65</v>
      </c>
      <c r="G92" s="61">
        <v>0</v>
      </c>
      <c r="H92" s="61">
        <f t="shared" si="23"/>
        <v>165178.65</v>
      </c>
      <c r="I92" s="61">
        <v>0</v>
      </c>
      <c r="J92" s="61">
        <f t="shared" si="24"/>
        <v>165178.65</v>
      </c>
      <c r="K92" s="61">
        <f t="shared" si="28"/>
        <v>165178.65</v>
      </c>
      <c r="L92" s="18">
        <v>1</v>
      </c>
      <c r="M92" s="68">
        <v>0</v>
      </c>
      <c r="N92" s="18">
        <f t="shared" si="25"/>
        <v>1</v>
      </c>
      <c r="O92" s="69">
        <v>45461</v>
      </c>
      <c r="P92" s="70">
        <v>45825</v>
      </c>
      <c r="Q92" s="18" t="str">
        <f t="shared" si="29"/>
        <v>June</v>
      </c>
      <c r="R92" s="18">
        <f t="shared" si="30"/>
        <v>2024</v>
      </c>
      <c r="S92" s="18" t="s">
        <v>29</v>
      </c>
      <c r="T92" s="18" t="s">
        <v>29</v>
      </c>
      <c r="U92" s="18"/>
      <c r="V92" s="18"/>
      <c r="W92" s="77">
        <v>45455</v>
      </c>
      <c r="X92" s="18">
        <f ca="1" t="shared" si="26"/>
        <v>133</v>
      </c>
      <c r="Y92" s="18">
        <f t="shared" si="32"/>
        <v>6</v>
      </c>
      <c r="Z92" s="64">
        <f t="shared" si="10"/>
        <v>0</v>
      </c>
      <c r="AA92" t="str">
        <f t="shared" si="31"/>
        <v>Hares</v>
      </c>
      <c r="AB92" s="16"/>
      <c r="AC92" s="16"/>
    </row>
    <row r="93" s="55" customFormat="1" ht="16.5" spans="1:27">
      <c r="A93" s="18" t="s">
        <v>146</v>
      </c>
      <c r="B93" s="65" t="s">
        <v>91</v>
      </c>
      <c r="C93" s="60" t="s">
        <v>28</v>
      </c>
      <c r="D93" s="53" t="s">
        <v>92</v>
      </c>
      <c r="E93" s="61">
        <v>23221393</v>
      </c>
      <c r="F93" s="61">
        <f t="shared" si="22"/>
        <v>1161069.65</v>
      </c>
      <c r="G93" s="61">
        <v>570000</v>
      </c>
      <c r="H93" s="61">
        <f t="shared" si="23"/>
        <v>24952462.65</v>
      </c>
      <c r="I93" s="61">
        <v>0</v>
      </c>
      <c r="J93" s="61">
        <f t="shared" si="24"/>
        <v>24952462.65</v>
      </c>
      <c r="K93" s="61">
        <f t="shared" si="28"/>
        <v>1084889.68043478</v>
      </c>
      <c r="L93" s="18">
        <v>23</v>
      </c>
      <c r="M93" s="68">
        <v>34</v>
      </c>
      <c r="N93" s="18">
        <f t="shared" si="25"/>
        <v>57</v>
      </c>
      <c r="O93" s="83">
        <v>45461</v>
      </c>
      <c r="P93" s="84">
        <v>45825</v>
      </c>
      <c r="Q93" s="18" t="str">
        <f t="shared" si="29"/>
        <v>June</v>
      </c>
      <c r="R93" s="18">
        <f t="shared" si="30"/>
        <v>2024</v>
      </c>
      <c r="S93" s="18" t="s">
        <v>35</v>
      </c>
      <c r="T93" s="88" t="s">
        <v>114</v>
      </c>
      <c r="U93" s="88"/>
      <c r="V93" s="88"/>
      <c r="W93" s="89">
        <v>45444</v>
      </c>
      <c r="X93" s="88">
        <f ca="1" t="shared" si="26"/>
        <v>133</v>
      </c>
      <c r="Y93" s="88">
        <f t="shared" si="32"/>
        <v>17</v>
      </c>
      <c r="Z93" s="94">
        <f t="shared" si="10"/>
        <v>1.48</v>
      </c>
      <c r="AA93" t="str">
        <f t="shared" si="31"/>
        <v>Hares</v>
      </c>
    </row>
    <row r="94" s="55" customFormat="1" ht="16.5" spans="1:27">
      <c r="A94" s="18" t="s">
        <v>147</v>
      </c>
      <c r="B94" s="18" t="s">
        <v>27</v>
      </c>
      <c r="C94" s="60" t="s">
        <v>28</v>
      </c>
      <c r="D94" s="60" t="s">
        <v>28</v>
      </c>
      <c r="E94" s="61">
        <v>5159580</v>
      </c>
      <c r="F94" s="61">
        <f t="shared" si="22"/>
        <v>257979</v>
      </c>
      <c r="G94" s="61">
        <f>230000+110000</f>
        <v>340000</v>
      </c>
      <c r="H94" s="61">
        <f t="shared" si="23"/>
        <v>5757559</v>
      </c>
      <c r="I94" s="61">
        <v>0</v>
      </c>
      <c r="J94" s="61">
        <f t="shared" si="24"/>
        <v>5757559</v>
      </c>
      <c r="K94" s="61">
        <f t="shared" si="28"/>
        <v>822508.428571429</v>
      </c>
      <c r="L94" s="18">
        <v>7</v>
      </c>
      <c r="M94" s="68">
        <v>27</v>
      </c>
      <c r="N94" s="18">
        <f t="shared" si="25"/>
        <v>34</v>
      </c>
      <c r="O94" s="69">
        <v>45462</v>
      </c>
      <c r="P94" s="70">
        <v>45826</v>
      </c>
      <c r="Q94" s="18" t="str">
        <f t="shared" si="29"/>
        <v>June</v>
      </c>
      <c r="R94" s="18">
        <f t="shared" si="30"/>
        <v>2024</v>
      </c>
      <c r="S94" s="18" t="s">
        <v>29</v>
      </c>
      <c r="T94" s="88" t="s">
        <v>82</v>
      </c>
      <c r="U94" s="88" t="s">
        <v>31</v>
      </c>
      <c r="V94" s="90" t="s">
        <v>83</v>
      </c>
      <c r="W94" s="91">
        <v>45369</v>
      </c>
      <c r="X94" s="88">
        <f ca="1" t="shared" si="26"/>
        <v>132</v>
      </c>
      <c r="Y94" s="88">
        <f t="shared" si="32"/>
        <v>93</v>
      </c>
      <c r="Z94" s="94">
        <f t="shared" si="10"/>
        <v>3.86</v>
      </c>
      <c r="AA94" t="str">
        <f t="shared" si="31"/>
        <v>Hares</v>
      </c>
    </row>
    <row r="95" s="55" customFormat="1" ht="16.5" spans="1:27">
      <c r="A95" s="18" t="s">
        <v>148</v>
      </c>
      <c r="B95" s="18" t="s">
        <v>27</v>
      </c>
      <c r="C95" s="60" t="s">
        <v>28</v>
      </c>
      <c r="D95" s="60" t="s">
        <v>28</v>
      </c>
      <c r="E95" s="61">
        <v>1321000</v>
      </c>
      <c r="F95" s="61">
        <f t="shared" si="22"/>
        <v>66050</v>
      </c>
      <c r="G95" s="61">
        <v>30000</v>
      </c>
      <c r="H95" s="61">
        <f t="shared" si="23"/>
        <v>1417050</v>
      </c>
      <c r="I95" s="61">
        <v>0</v>
      </c>
      <c r="J95" s="61">
        <f t="shared" si="24"/>
        <v>1417050</v>
      </c>
      <c r="K95" s="61">
        <f t="shared" si="28"/>
        <v>1417050</v>
      </c>
      <c r="L95" s="18">
        <v>1</v>
      </c>
      <c r="M95" s="68">
        <v>2</v>
      </c>
      <c r="N95" s="18">
        <f t="shared" si="25"/>
        <v>3</v>
      </c>
      <c r="O95" s="69">
        <v>45462</v>
      </c>
      <c r="P95" s="70">
        <v>45826</v>
      </c>
      <c r="Q95" s="18" t="str">
        <f t="shared" si="29"/>
        <v>June</v>
      </c>
      <c r="R95" s="18">
        <f t="shared" si="30"/>
        <v>2024</v>
      </c>
      <c r="S95" s="18" t="s">
        <v>29</v>
      </c>
      <c r="T95" s="88" t="s">
        <v>29</v>
      </c>
      <c r="U95" s="88"/>
      <c r="V95" s="88"/>
      <c r="W95" s="91">
        <v>45457</v>
      </c>
      <c r="X95" s="88">
        <f ca="1" t="shared" si="26"/>
        <v>132</v>
      </c>
      <c r="Y95" s="88">
        <f t="shared" si="32"/>
        <v>5</v>
      </c>
      <c r="Z95" s="94">
        <f t="shared" si="10"/>
        <v>2</v>
      </c>
      <c r="AA95" t="str">
        <f t="shared" si="31"/>
        <v>Hares</v>
      </c>
    </row>
    <row r="96" s="55" customFormat="1" ht="16.5" spans="1:27">
      <c r="A96" s="18" t="s">
        <v>149</v>
      </c>
      <c r="B96" s="18" t="s">
        <v>27</v>
      </c>
      <c r="C96" s="60" t="s">
        <v>28</v>
      </c>
      <c r="D96" s="60" t="s">
        <v>28</v>
      </c>
      <c r="E96" s="61">
        <f>2580935+16648201</f>
        <v>19229136</v>
      </c>
      <c r="F96" s="61">
        <f t="shared" si="22"/>
        <v>961456.8</v>
      </c>
      <c r="G96" s="61">
        <v>320000</v>
      </c>
      <c r="H96" s="61">
        <f t="shared" si="23"/>
        <v>20510592.8</v>
      </c>
      <c r="I96" s="61">
        <v>0</v>
      </c>
      <c r="J96" s="61">
        <f t="shared" si="24"/>
        <v>20510592.8</v>
      </c>
      <c r="K96" s="61">
        <f t="shared" si="28"/>
        <v>976694.895238095</v>
      </c>
      <c r="L96" s="18">
        <v>21</v>
      </c>
      <c r="M96" s="68">
        <f>64-21</f>
        <v>43</v>
      </c>
      <c r="N96" s="18">
        <f t="shared" si="25"/>
        <v>64</v>
      </c>
      <c r="O96" s="69">
        <v>45464</v>
      </c>
      <c r="P96" s="70">
        <v>45828</v>
      </c>
      <c r="Q96" s="18" t="str">
        <f t="shared" si="29"/>
        <v>June</v>
      </c>
      <c r="R96" s="18">
        <f t="shared" si="30"/>
        <v>2024</v>
      </c>
      <c r="S96" s="18" t="s">
        <v>29</v>
      </c>
      <c r="T96" s="88" t="s">
        <v>30</v>
      </c>
      <c r="U96" s="88" t="s">
        <v>31</v>
      </c>
      <c r="V96" s="90" t="s">
        <v>32</v>
      </c>
      <c r="W96" s="91">
        <v>45435</v>
      </c>
      <c r="X96" s="88">
        <f ca="1" t="shared" si="26"/>
        <v>130</v>
      </c>
      <c r="Y96" s="88">
        <f t="shared" si="32"/>
        <v>29</v>
      </c>
      <c r="Z96" s="94">
        <f t="shared" si="10"/>
        <v>2.05</v>
      </c>
      <c r="AA96" t="str">
        <f t="shared" si="31"/>
        <v>Hares</v>
      </c>
    </row>
    <row r="97" s="55" customFormat="1" ht="16.5" spans="1:27">
      <c r="A97" s="18" t="s">
        <v>45</v>
      </c>
      <c r="B97" s="65" t="s">
        <v>91</v>
      </c>
      <c r="C97" s="60" t="s">
        <v>28</v>
      </c>
      <c r="D97" s="53" t="s">
        <v>92</v>
      </c>
      <c r="E97" s="61">
        <v>2472532</v>
      </c>
      <c r="F97" s="61">
        <f t="shared" si="22"/>
        <v>123626.6</v>
      </c>
      <c r="G97" s="61">
        <v>70000</v>
      </c>
      <c r="H97" s="61">
        <f t="shared" si="23"/>
        <v>2666158.6</v>
      </c>
      <c r="I97" s="61">
        <v>0</v>
      </c>
      <c r="J97" s="61">
        <f t="shared" si="24"/>
        <v>2666158.6</v>
      </c>
      <c r="K97" s="61">
        <f t="shared" si="28"/>
        <v>1333079.3</v>
      </c>
      <c r="L97" s="18">
        <v>2</v>
      </c>
      <c r="M97" s="68">
        <v>5</v>
      </c>
      <c r="N97" s="18">
        <f t="shared" si="25"/>
        <v>7</v>
      </c>
      <c r="O97" s="83">
        <v>45464</v>
      </c>
      <c r="P97" s="84">
        <v>45828</v>
      </c>
      <c r="Q97" s="18" t="str">
        <f t="shared" si="29"/>
        <v>June</v>
      </c>
      <c r="R97" s="18">
        <f t="shared" si="30"/>
        <v>2024</v>
      </c>
      <c r="S97" s="18" t="s">
        <v>35</v>
      </c>
      <c r="T97" s="88" t="s">
        <v>114</v>
      </c>
      <c r="U97" s="88"/>
      <c r="V97" s="88"/>
      <c r="W97" s="89">
        <v>45462</v>
      </c>
      <c r="X97" s="88">
        <f ca="1" t="shared" si="26"/>
        <v>130</v>
      </c>
      <c r="Y97" s="88">
        <f t="shared" si="32"/>
        <v>2</v>
      </c>
      <c r="Z97" s="94">
        <f t="shared" si="10"/>
        <v>2.5</v>
      </c>
      <c r="AA97" t="str">
        <f t="shared" si="31"/>
        <v>Hares</v>
      </c>
    </row>
    <row r="98" s="55" customFormat="1" ht="16.5" spans="1:27">
      <c r="A98" s="18" t="s">
        <v>150</v>
      </c>
      <c r="B98" s="65" t="s">
        <v>27</v>
      </c>
      <c r="C98" s="60" t="s">
        <v>28</v>
      </c>
      <c r="D98" s="60" t="s">
        <v>28</v>
      </c>
      <c r="E98" s="61">
        <v>2999400</v>
      </c>
      <c r="F98" s="61">
        <f t="shared" si="22"/>
        <v>149970</v>
      </c>
      <c r="G98" s="61">
        <v>40000</v>
      </c>
      <c r="H98" s="61">
        <f t="shared" si="23"/>
        <v>3189370</v>
      </c>
      <c r="I98" s="61">
        <v>0</v>
      </c>
      <c r="J98" s="61">
        <f t="shared" si="24"/>
        <v>3189370</v>
      </c>
      <c r="K98" s="61">
        <f t="shared" si="28"/>
        <v>1594685</v>
      </c>
      <c r="L98" s="18">
        <v>2</v>
      </c>
      <c r="M98" s="68">
        <v>2</v>
      </c>
      <c r="N98" s="18">
        <v>4</v>
      </c>
      <c r="O98" s="83">
        <v>45467</v>
      </c>
      <c r="P98" s="84">
        <v>45831</v>
      </c>
      <c r="Q98" s="18" t="str">
        <f t="shared" si="29"/>
        <v>June</v>
      </c>
      <c r="R98" s="18">
        <f t="shared" si="30"/>
        <v>2024</v>
      </c>
      <c r="S98" s="18" t="s">
        <v>29</v>
      </c>
      <c r="T98" s="88" t="s">
        <v>131</v>
      </c>
      <c r="U98" s="88" t="s">
        <v>31</v>
      </c>
      <c r="V98" s="90" t="s">
        <v>83</v>
      </c>
      <c r="W98" s="89">
        <v>45456</v>
      </c>
      <c r="X98" s="88">
        <f ca="1" t="shared" si="26"/>
        <v>127</v>
      </c>
      <c r="Y98" s="88">
        <f t="shared" si="32"/>
        <v>11</v>
      </c>
      <c r="Z98" s="94">
        <f t="shared" si="10"/>
        <v>1</v>
      </c>
      <c r="AA98" t="str">
        <f t="shared" si="31"/>
        <v>Hares</v>
      </c>
    </row>
    <row r="99" s="55" customFormat="1" ht="16.5" spans="1:27">
      <c r="A99" s="65" t="s">
        <v>151</v>
      </c>
      <c r="B99" s="65" t="s">
        <v>27</v>
      </c>
      <c r="C99" s="60" t="s">
        <v>28</v>
      </c>
      <c r="D99" s="60" t="s">
        <v>28</v>
      </c>
      <c r="E99" s="82">
        <v>1381142</v>
      </c>
      <c r="F99" s="61">
        <f t="shared" si="22"/>
        <v>69057.1</v>
      </c>
      <c r="G99" s="82">
        <v>30000</v>
      </c>
      <c r="H99" s="61">
        <f t="shared" si="23"/>
        <v>1480199.1</v>
      </c>
      <c r="I99" s="82" t="s">
        <v>152</v>
      </c>
      <c r="J99" s="61">
        <f t="shared" si="24"/>
        <v>1480199.1</v>
      </c>
      <c r="K99" s="61">
        <f t="shared" si="28"/>
        <v>1480199.1</v>
      </c>
      <c r="L99" s="85">
        <v>1</v>
      </c>
      <c r="M99" s="86">
        <v>2</v>
      </c>
      <c r="N99" s="85">
        <v>3</v>
      </c>
      <c r="O99" s="83">
        <v>45468</v>
      </c>
      <c r="P99" s="84">
        <v>45832</v>
      </c>
      <c r="Q99" s="18" t="str">
        <f t="shared" si="29"/>
        <v>June</v>
      </c>
      <c r="R99" s="18">
        <f t="shared" si="30"/>
        <v>2024</v>
      </c>
      <c r="S99" s="65" t="s">
        <v>29</v>
      </c>
      <c r="T99" s="92" t="s">
        <v>29</v>
      </c>
      <c r="U99" s="92"/>
      <c r="V99" s="92"/>
      <c r="W99" s="89">
        <v>45467</v>
      </c>
      <c r="X99" s="88">
        <f ca="1" t="shared" si="26"/>
        <v>126</v>
      </c>
      <c r="Y99" s="88">
        <f t="shared" si="32"/>
        <v>1</v>
      </c>
      <c r="Z99" s="94">
        <f t="shared" si="10"/>
        <v>2</v>
      </c>
      <c r="AA99" t="str">
        <f t="shared" si="31"/>
        <v>Hares</v>
      </c>
    </row>
    <row r="100" s="55" customFormat="1" ht="16.5" spans="1:27">
      <c r="A100" s="65" t="s">
        <v>153</v>
      </c>
      <c r="B100" s="65" t="s">
        <v>27</v>
      </c>
      <c r="C100" s="60" t="s">
        <v>28</v>
      </c>
      <c r="D100" s="60" t="s">
        <v>28</v>
      </c>
      <c r="E100" s="82">
        <v>464822</v>
      </c>
      <c r="F100" s="61">
        <f t="shared" si="22"/>
        <v>23241.1</v>
      </c>
      <c r="G100" s="82">
        <v>10000</v>
      </c>
      <c r="H100" s="61">
        <f t="shared" si="23"/>
        <v>498063.1</v>
      </c>
      <c r="I100" s="82"/>
      <c r="J100" s="61">
        <f t="shared" si="24"/>
        <v>498063.1</v>
      </c>
      <c r="K100" s="61">
        <f t="shared" si="28"/>
        <v>498063.1</v>
      </c>
      <c r="L100" s="85">
        <v>1</v>
      </c>
      <c r="M100" s="86" t="s">
        <v>152</v>
      </c>
      <c r="N100" s="85">
        <v>1</v>
      </c>
      <c r="O100" s="83">
        <v>45468</v>
      </c>
      <c r="P100" s="84">
        <v>45832</v>
      </c>
      <c r="Q100" s="18" t="str">
        <f t="shared" si="29"/>
        <v>June</v>
      </c>
      <c r="R100" s="18">
        <f t="shared" si="30"/>
        <v>2024</v>
      </c>
      <c r="S100" s="65" t="s">
        <v>29</v>
      </c>
      <c r="T100" s="92" t="s">
        <v>154</v>
      </c>
      <c r="U100" s="88" t="s">
        <v>31</v>
      </c>
      <c r="V100" s="90" t="s">
        <v>108</v>
      </c>
      <c r="W100" s="89">
        <v>45455</v>
      </c>
      <c r="X100" s="88">
        <f ca="1" t="shared" si="26"/>
        <v>126</v>
      </c>
      <c r="Y100" s="88">
        <f t="shared" si="32"/>
        <v>13</v>
      </c>
      <c r="Z100" s="94" t="e">
        <f t="shared" si="10"/>
        <v>#VALUE!</v>
      </c>
      <c r="AA100" t="str">
        <f t="shared" si="31"/>
        <v>Hares</v>
      </c>
    </row>
    <row r="101" s="55" customFormat="1" ht="16.5" spans="1:27">
      <c r="A101" s="18" t="s">
        <v>70</v>
      </c>
      <c r="B101" s="65" t="s">
        <v>91</v>
      </c>
      <c r="C101" s="53" t="s">
        <v>71</v>
      </c>
      <c r="D101" s="53" t="s">
        <v>92</v>
      </c>
      <c r="E101" s="64"/>
      <c r="F101" s="64"/>
      <c r="G101" s="64"/>
      <c r="H101" s="64"/>
      <c r="I101" s="64"/>
      <c r="J101" s="72">
        <v>8934501</v>
      </c>
      <c r="K101" s="61">
        <f t="shared" si="28"/>
        <v>470236.894736842</v>
      </c>
      <c r="L101" s="73">
        <v>19</v>
      </c>
      <c r="M101" s="68">
        <v>0</v>
      </c>
      <c r="N101" s="73">
        <v>19</v>
      </c>
      <c r="O101" s="74">
        <v>45474</v>
      </c>
      <c r="P101" s="75">
        <v>45838</v>
      </c>
      <c r="Q101" s="18" t="str">
        <f t="shared" si="29"/>
        <v>July</v>
      </c>
      <c r="R101" s="18">
        <f t="shared" si="30"/>
        <v>2024</v>
      </c>
      <c r="S101" s="18" t="s">
        <v>41</v>
      </c>
      <c r="T101" s="88" t="s">
        <v>104</v>
      </c>
      <c r="U101" s="88" t="s">
        <v>31</v>
      </c>
      <c r="V101" s="88"/>
      <c r="W101" s="93"/>
      <c r="X101" s="88"/>
      <c r="Y101" s="88"/>
      <c r="Z101" s="94">
        <f t="shared" ref="Z101:Z126" si="33">ROUND(M101/L101,2)</f>
        <v>0</v>
      </c>
      <c r="AA101" t="str">
        <f t="shared" si="31"/>
        <v>Hares</v>
      </c>
    </row>
    <row r="102" s="55" customFormat="1" ht="16.5" spans="1:27">
      <c r="A102" s="18" t="s">
        <v>155</v>
      </c>
      <c r="B102" s="65" t="s">
        <v>27</v>
      </c>
      <c r="C102" s="60" t="s">
        <v>28</v>
      </c>
      <c r="D102" s="60" t="s">
        <v>28</v>
      </c>
      <c r="E102" s="61">
        <v>6179754</v>
      </c>
      <c r="F102" s="61">
        <f t="shared" ref="F102:F123" si="34">E102*5%</f>
        <v>308987.7</v>
      </c>
      <c r="G102" s="61">
        <v>210000</v>
      </c>
      <c r="H102" s="61">
        <f t="shared" ref="H102:H123" si="35">SUM(E102:G102)</f>
        <v>6698741.7</v>
      </c>
      <c r="I102" s="61">
        <v>0</v>
      </c>
      <c r="J102" s="61">
        <f t="shared" ref="J102:J123" si="36">SUM(H102:I102)</f>
        <v>6698741.7</v>
      </c>
      <c r="K102" s="61">
        <f t="shared" si="28"/>
        <v>318987.7</v>
      </c>
      <c r="L102" s="18">
        <v>21</v>
      </c>
      <c r="M102" s="68">
        <v>0</v>
      </c>
      <c r="N102" s="18">
        <v>21</v>
      </c>
      <c r="O102" s="83">
        <v>45475</v>
      </c>
      <c r="P102" s="84">
        <v>45839</v>
      </c>
      <c r="Q102" s="18" t="str">
        <f t="shared" si="29"/>
        <v>July</v>
      </c>
      <c r="R102" s="18">
        <f t="shared" si="30"/>
        <v>2024</v>
      </c>
      <c r="S102" s="18" t="s">
        <v>29</v>
      </c>
      <c r="T102" s="88" t="s">
        <v>29</v>
      </c>
      <c r="U102" s="88"/>
      <c r="V102" s="88"/>
      <c r="W102" s="89">
        <v>45443</v>
      </c>
      <c r="X102" s="88">
        <f ca="1" t="shared" ref="X102:X123" si="37">TODAY()-O102</f>
        <v>119</v>
      </c>
      <c r="Y102" s="88">
        <f t="shared" ref="Y102:Y123" si="38">O102-W102</f>
        <v>32</v>
      </c>
      <c r="Z102" s="94">
        <f t="shared" si="33"/>
        <v>0</v>
      </c>
      <c r="AA102" t="str">
        <f t="shared" si="31"/>
        <v>Hares</v>
      </c>
    </row>
    <row r="103" s="55" customFormat="1" ht="16.5" spans="1:27">
      <c r="A103" s="18" t="s">
        <v>156</v>
      </c>
      <c r="B103" s="65" t="s">
        <v>27</v>
      </c>
      <c r="C103" s="60" t="s">
        <v>28</v>
      </c>
      <c r="D103" s="60" t="s">
        <v>28</v>
      </c>
      <c r="E103" s="61">
        <v>1595848</v>
      </c>
      <c r="F103" s="61">
        <f t="shared" si="34"/>
        <v>79792.4</v>
      </c>
      <c r="G103" s="61">
        <v>40000</v>
      </c>
      <c r="H103" s="61">
        <f t="shared" si="35"/>
        <v>1715640.4</v>
      </c>
      <c r="I103" s="61">
        <v>0</v>
      </c>
      <c r="J103" s="61">
        <f t="shared" si="36"/>
        <v>1715640.4</v>
      </c>
      <c r="K103" s="61">
        <f t="shared" si="28"/>
        <v>428910.1</v>
      </c>
      <c r="L103" s="18">
        <v>4</v>
      </c>
      <c r="M103" s="68">
        <v>3</v>
      </c>
      <c r="N103" s="18">
        <v>4</v>
      </c>
      <c r="O103" s="83">
        <v>45483</v>
      </c>
      <c r="P103" s="84">
        <v>45847</v>
      </c>
      <c r="Q103" s="18" t="str">
        <f t="shared" si="29"/>
        <v>July</v>
      </c>
      <c r="R103" s="18">
        <f t="shared" si="30"/>
        <v>2024</v>
      </c>
      <c r="S103" s="18" t="s">
        <v>29</v>
      </c>
      <c r="T103" s="88" t="s">
        <v>29</v>
      </c>
      <c r="U103" s="88"/>
      <c r="V103" s="88"/>
      <c r="W103" s="89">
        <v>45462</v>
      </c>
      <c r="X103" s="88">
        <f ca="1" t="shared" si="37"/>
        <v>111</v>
      </c>
      <c r="Y103" s="88">
        <f t="shared" si="38"/>
        <v>21</v>
      </c>
      <c r="Z103" s="94">
        <f t="shared" si="33"/>
        <v>0.75</v>
      </c>
      <c r="AA103" t="str">
        <f t="shared" si="31"/>
        <v>Hares</v>
      </c>
    </row>
    <row r="104" s="55" customFormat="1" ht="16.5" spans="1:27">
      <c r="A104" s="18" t="s">
        <v>157</v>
      </c>
      <c r="B104" s="65" t="s">
        <v>27</v>
      </c>
      <c r="C104" s="60" t="s">
        <v>28</v>
      </c>
      <c r="D104" s="60" t="s">
        <v>28</v>
      </c>
      <c r="E104" s="61">
        <v>56151579</v>
      </c>
      <c r="F104" s="61">
        <f t="shared" si="34"/>
        <v>2807578.95</v>
      </c>
      <c r="G104" s="61">
        <v>965000</v>
      </c>
      <c r="H104" s="61">
        <f t="shared" si="35"/>
        <v>59924157.95</v>
      </c>
      <c r="I104" s="61">
        <v>0</v>
      </c>
      <c r="J104" s="61">
        <f t="shared" si="36"/>
        <v>59924157.95</v>
      </c>
      <c r="K104" s="61">
        <f t="shared" si="28"/>
        <v>1033175.13706897</v>
      </c>
      <c r="L104" s="18">
        <v>58</v>
      </c>
      <c r="M104" s="68">
        <v>135</v>
      </c>
      <c r="N104" s="18">
        <v>193</v>
      </c>
      <c r="O104" s="83">
        <v>45484</v>
      </c>
      <c r="P104" s="84">
        <v>45848</v>
      </c>
      <c r="Q104" s="18" t="str">
        <f t="shared" si="29"/>
        <v>July</v>
      </c>
      <c r="R104" s="18">
        <f t="shared" si="30"/>
        <v>2024</v>
      </c>
      <c r="S104" s="18" t="s">
        <v>35</v>
      </c>
      <c r="T104" s="88" t="s">
        <v>158</v>
      </c>
      <c r="U104" s="88"/>
      <c r="V104" s="88"/>
      <c r="W104" s="89">
        <v>45464</v>
      </c>
      <c r="X104" s="88">
        <f ca="1" t="shared" si="37"/>
        <v>110</v>
      </c>
      <c r="Y104" s="88">
        <f t="shared" si="38"/>
        <v>20</v>
      </c>
      <c r="Z104" s="94">
        <f t="shared" si="33"/>
        <v>2.33</v>
      </c>
      <c r="AA104" t="str">
        <f t="shared" si="31"/>
        <v>Tigers</v>
      </c>
    </row>
    <row r="105" s="55" customFormat="1" ht="16.5" spans="1:27">
      <c r="A105" s="18" t="s">
        <v>159</v>
      </c>
      <c r="B105" s="65" t="s">
        <v>27</v>
      </c>
      <c r="C105" s="60" t="s">
        <v>28</v>
      </c>
      <c r="D105" s="60" t="s">
        <v>28</v>
      </c>
      <c r="E105" s="61">
        <v>620086</v>
      </c>
      <c r="F105" s="61">
        <f t="shared" si="34"/>
        <v>31004.3</v>
      </c>
      <c r="G105" s="61">
        <v>10000</v>
      </c>
      <c r="H105" s="61">
        <f t="shared" si="35"/>
        <v>661090.3</v>
      </c>
      <c r="I105" s="61">
        <v>0</v>
      </c>
      <c r="J105" s="61">
        <f t="shared" si="36"/>
        <v>661090.3</v>
      </c>
      <c r="K105" s="61">
        <f t="shared" si="28"/>
        <v>661090.3</v>
      </c>
      <c r="L105" s="18">
        <v>1</v>
      </c>
      <c r="M105" s="68">
        <v>0</v>
      </c>
      <c r="N105" s="18">
        <v>1</v>
      </c>
      <c r="O105" s="83">
        <v>45485</v>
      </c>
      <c r="P105" s="84">
        <v>45849</v>
      </c>
      <c r="Q105" s="18" t="str">
        <f t="shared" si="29"/>
        <v>July</v>
      </c>
      <c r="R105" s="18">
        <f t="shared" si="30"/>
        <v>2024</v>
      </c>
      <c r="S105" s="18" t="s">
        <v>29</v>
      </c>
      <c r="T105" s="88" t="s">
        <v>86</v>
      </c>
      <c r="U105" s="88" t="s">
        <v>31</v>
      </c>
      <c r="V105" s="90" t="s">
        <v>87</v>
      </c>
      <c r="W105" s="89">
        <v>45485</v>
      </c>
      <c r="X105" s="88">
        <f ca="1" t="shared" si="37"/>
        <v>109</v>
      </c>
      <c r="Y105" s="88">
        <f t="shared" si="38"/>
        <v>0</v>
      </c>
      <c r="Z105" s="94">
        <f t="shared" si="33"/>
        <v>0</v>
      </c>
      <c r="AA105" t="str">
        <f t="shared" si="31"/>
        <v>Hares</v>
      </c>
    </row>
    <row r="106" s="55" customFormat="1" ht="16.5" spans="1:27">
      <c r="A106" s="18" t="s">
        <v>160</v>
      </c>
      <c r="B106" s="65" t="s">
        <v>27</v>
      </c>
      <c r="C106" s="60" t="s">
        <v>28</v>
      </c>
      <c r="D106" s="60" t="s">
        <v>28</v>
      </c>
      <c r="E106" s="61">
        <v>25154667</v>
      </c>
      <c r="F106" s="61">
        <f t="shared" si="34"/>
        <v>1257733.35</v>
      </c>
      <c r="G106" s="61">
        <v>430000</v>
      </c>
      <c r="H106" s="61">
        <f t="shared" si="35"/>
        <v>26842400.35</v>
      </c>
      <c r="I106" s="61">
        <v>0</v>
      </c>
      <c r="J106" s="61">
        <f t="shared" si="36"/>
        <v>26842400.35</v>
      </c>
      <c r="K106" s="61">
        <f t="shared" si="28"/>
        <v>925600.012068966</v>
      </c>
      <c r="L106" s="18">
        <v>29</v>
      </c>
      <c r="M106" s="68">
        <v>57</v>
      </c>
      <c r="N106" s="18">
        <f>SUM(L106:M106)</f>
        <v>86</v>
      </c>
      <c r="O106" s="83">
        <v>45488</v>
      </c>
      <c r="P106" s="84">
        <v>45852</v>
      </c>
      <c r="Q106" s="18" t="str">
        <f t="shared" si="29"/>
        <v>July</v>
      </c>
      <c r="R106" s="18">
        <f t="shared" si="30"/>
        <v>2024</v>
      </c>
      <c r="S106" s="18" t="s">
        <v>35</v>
      </c>
      <c r="T106" s="88" t="s">
        <v>158</v>
      </c>
      <c r="U106" s="88"/>
      <c r="V106" s="88"/>
      <c r="W106" s="89">
        <v>45469</v>
      </c>
      <c r="X106" s="88">
        <f ca="1" t="shared" si="37"/>
        <v>106</v>
      </c>
      <c r="Y106" s="88">
        <f t="shared" si="38"/>
        <v>19</v>
      </c>
      <c r="Z106" s="94">
        <f t="shared" si="33"/>
        <v>1.97</v>
      </c>
      <c r="AA106" t="str">
        <f t="shared" si="31"/>
        <v>Hares</v>
      </c>
    </row>
    <row r="107" s="55" customFormat="1" ht="16.5" spans="1:27">
      <c r="A107" s="18" t="s">
        <v>161</v>
      </c>
      <c r="B107" s="65" t="s">
        <v>27</v>
      </c>
      <c r="C107" s="60" t="s">
        <v>28</v>
      </c>
      <c r="D107" s="60" t="s">
        <v>28</v>
      </c>
      <c r="E107" s="61">
        <v>64200983</v>
      </c>
      <c r="F107" s="61">
        <f t="shared" si="34"/>
        <v>3210049.15</v>
      </c>
      <c r="G107" s="61">
        <v>790000</v>
      </c>
      <c r="H107" s="61">
        <f t="shared" si="35"/>
        <v>68201032.15</v>
      </c>
      <c r="I107" s="61">
        <v>0</v>
      </c>
      <c r="J107" s="61">
        <f t="shared" si="36"/>
        <v>68201032.15</v>
      </c>
      <c r="K107" s="61">
        <f t="shared" si="28"/>
        <v>885727.69025974</v>
      </c>
      <c r="L107" s="18">
        <v>77</v>
      </c>
      <c r="M107" s="68">
        <v>81</v>
      </c>
      <c r="N107" s="18">
        <f>SUM(L107:M107)</f>
        <v>158</v>
      </c>
      <c r="O107" s="83">
        <v>45489</v>
      </c>
      <c r="P107" s="84">
        <v>45853</v>
      </c>
      <c r="Q107" s="18" t="str">
        <f t="shared" si="29"/>
        <v>July</v>
      </c>
      <c r="R107" s="18">
        <f t="shared" si="30"/>
        <v>2024</v>
      </c>
      <c r="S107" s="18" t="s">
        <v>35</v>
      </c>
      <c r="T107" s="88" t="s">
        <v>79</v>
      </c>
      <c r="U107" s="88"/>
      <c r="V107" s="88"/>
      <c r="W107" s="89">
        <v>45475</v>
      </c>
      <c r="X107" s="88">
        <f ca="1" t="shared" si="37"/>
        <v>105</v>
      </c>
      <c r="Y107" s="88">
        <f t="shared" si="38"/>
        <v>14</v>
      </c>
      <c r="Z107" s="94">
        <f t="shared" si="33"/>
        <v>1.05</v>
      </c>
      <c r="AA107" t="str">
        <f t="shared" si="31"/>
        <v>Tigers</v>
      </c>
    </row>
    <row r="108" s="55" customFormat="1" ht="16.5" spans="1:27">
      <c r="A108" s="18" t="s">
        <v>162</v>
      </c>
      <c r="B108" s="65" t="s">
        <v>27</v>
      </c>
      <c r="C108" s="60" t="s">
        <v>28</v>
      </c>
      <c r="D108" s="60" t="s">
        <v>28</v>
      </c>
      <c r="E108" s="61">
        <v>2206440</v>
      </c>
      <c r="F108" s="61">
        <f t="shared" si="34"/>
        <v>110322</v>
      </c>
      <c r="G108" s="61">
        <v>40000</v>
      </c>
      <c r="H108" s="61">
        <f t="shared" si="35"/>
        <v>2356762</v>
      </c>
      <c r="I108" s="61">
        <v>0</v>
      </c>
      <c r="J108" s="61">
        <f t="shared" si="36"/>
        <v>2356762</v>
      </c>
      <c r="K108" s="61">
        <f t="shared" si="28"/>
        <v>2356762</v>
      </c>
      <c r="L108" s="18">
        <v>1</v>
      </c>
      <c r="M108" s="68">
        <v>3</v>
      </c>
      <c r="N108" s="18">
        <v>4</v>
      </c>
      <c r="O108" s="83">
        <v>45492</v>
      </c>
      <c r="P108" s="84">
        <v>45856</v>
      </c>
      <c r="Q108" s="18" t="str">
        <f t="shared" si="29"/>
        <v>July</v>
      </c>
      <c r="R108" s="18">
        <f t="shared" si="30"/>
        <v>2024</v>
      </c>
      <c r="S108" s="18" t="s">
        <v>29</v>
      </c>
      <c r="T108" s="88" t="s">
        <v>154</v>
      </c>
      <c r="U108" s="88" t="s">
        <v>31</v>
      </c>
      <c r="V108" s="90" t="s">
        <v>108</v>
      </c>
      <c r="W108" s="89">
        <v>45481</v>
      </c>
      <c r="X108" s="88">
        <f ca="1" t="shared" si="37"/>
        <v>102</v>
      </c>
      <c r="Y108" s="88">
        <f t="shared" si="38"/>
        <v>11</v>
      </c>
      <c r="Z108" s="94">
        <f t="shared" si="33"/>
        <v>3</v>
      </c>
      <c r="AA108" t="str">
        <f t="shared" si="31"/>
        <v>Hares</v>
      </c>
    </row>
    <row r="109" s="55" customFormat="1" ht="16.5" spans="1:27">
      <c r="A109" s="18" t="s">
        <v>163</v>
      </c>
      <c r="B109" s="65" t="s">
        <v>27</v>
      </c>
      <c r="C109" s="60" t="s">
        <v>28</v>
      </c>
      <c r="D109" s="60" t="s">
        <v>28</v>
      </c>
      <c r="E109" s="61">
        <v>1791035</v>
      </c>
      <c r="F109" s="61">
        <f t="shared" si="34"/>
        <v>89551.75</v>
      </c>
      <c r="G109" s="61">
        <v>30000</v>
      </c>
      <c r="H109" s="61">
        <f t="shared" si="35"/>
        <v>1910586.75</v>
      </c>
      <c r="I109" s="61">
        <v>0</v>
      </c>
      <c r="J109" s="61">
        <f t="shared" si="36"/>
        <v>1910586.75</v>
      </c>
      <c r="K109" s="61">
        <f t="shared" si="28"/>
        <v>1910586.75</v>
      </c>
      <c r="L109" s="18">
        <v>1</v>
      </c>
      <c r="M109" s="68">
        <v>2</v>
      </c>
      <c r="N109" s="18">
        <v>3</v>
      </c>
      <c r="O109" s="83">
        <v>45495</v>
      </c>
      <c r="P109" s="84">
        <v>45859</v>
      </c>
      <c r="Q109" s="18" t="str">
        <f t="shared" si="29"/>
        <v>July</v>
      </c>
      <c r="R109" s="18">
        <f t="shared" si="30"/>
        <v>2024</v>
      </c>
      <c r="S109" s="18" t="s">
        <v>29</v>
      </c>
      <c r="T109" s="88" t="s">
        <v>29</v>
      </c>
      <c r="U109" s="88"/>
      <c r="V109" s="88"/>
      <c r="W109" s="89">
        <v>45492</v>
      </c>
      <c r="X109" s="88">
        <f ca="1" t="shared" si="37"/>
        <v>99</v>
      </c>
      <c r="Y109" s="88">
        <f t="shared" si="38"/>
        <v>3</v>
      </c>
      <c r="Z109" s="94">
        <f t="shared" si="33"/>
        <v>2</v>
      </c>
      <c r="AA109" t="str">
        <f t="shared" si="31"/>
        <v>Hares</v>
      </c>
    </row>
    <row r="110" s="55" customFormat="1" ht="16.5" spans="1:27">
      <c r="A110" s="18" t="s">
        <v>164</v>
      </c>
      <c r="B110" s="65" t="s">
        <v>27</v>
      </c>
      <c r="C110" s="60" t="s">
        <v>28</v>
      </c>
      <c r="D110" s="60" t="s">
        <v>28</v>
      </c>
      <c r="E110" s="61">
        <v>908890</v>
      </c>
      <c r="F110" s="61">
        <f t="shared" si="34"/>
        <v>45444.5</v>
      </c>
      <c r="G110" s="61">
        <v>10000</v>
      </c>
      <c r="H110" s="61">
        <f t="shared" si="35"/>
        <v>964334.5</v>
      </c>
      <c r="I110" s="61">
        <v>0</v>
      </c>
      <c r="J110" s="61">
        <f t="shared" si="36"/>
        <v>964334.5</v>
      </c>
      <c r="K110" s="61">
        <f t="shared" si="28"/>
        <v>964334.5</v>
      </c>
      <c r="L110" s="18">
        <v>1</v>
      </c>
      <c r="M110" s="68">
        <v>0</v>
      </c>
      <c r="N110" s="18">
        <v>1</v>
      </c>
      <c r="O110" s="83">
        <v>45495</v>
      </c>
      <c r="P110" s="84">
        <v>45859</v>
      </c>
      <c r="Q110" s="18" t="str">
        <f t="shared" si="29"/>
        <v>July</v>
      </c>
      <c r="R110" s="18">
        <f t="shared" si="30"/>
        <v>2024</v>
      </c>
      <c r="S110" s="18" t="s">
        <v>29</v>
      </c>
      <c r="T110" s="88" t="s">
        <v>29</v>
      </c>
      <c r="U110" s="88"/>
      <c r="V110" s="88"/>
      <c r="W110" s="89">
        <v>45495</v>
      </c>
      <c r="X110" s="88">
        <f ca="1" t="shared" si="37"/>
        <v>99</v>
      </c>
      <c r="Y110" s="88">
        <f t="shared" si="38"/>
        <v>0</v>
      </c>
      <c r="Z110" s="94">
        <f t="shared" si="33"/>
        <v>0</v>
      </c>
      <c r="AA110" t="str">
        <f t="shared" si="31"/>
        <v>Hares</v>
      </c>
    </row>
    <row r="111" s="55" customFormat="1" ht="16.5" spans="1:27">
      <c r="A111" s="18" t="s">
        <v>48</v>
      </c>
      <c r="B111" s="65" t="s">
        <v>91</v>
      </c>
      <c r="C111" s="53" t="s">
        <v>28</v>
      </c>
      <c r="D111" s="53" t="s">
        <v>92</v>
      </c>
      <c r="E111" s="61">
        <v>22542225</v>
      </c>
      <c r="F111" s="61">
        <f t="shared" si="34"/>
        <v>1127111.25</v>
      </c>
      <c r="G111" s="61">
        <v>165000</v>
      </c>
      <c r="H111" s="61">
        <f t="shared" si="35"/>
        <v>23834336.25</v>
      </c>
      <c r="I111" s="61">
        <v>0</v>
      </c>
      <c r="J111" s="61">
        <f t="shared" si="36"/>
        <v>23834336.25</v>
      </c>
      <c r="K111" s="61">
        <f t="shared" si="28"/>
        <v>1191716.8125</v>
      </c>
      <c r="L111" s="18">
        <v>20</v>
      </c>
      <c r="M111" s="68">
        <v>13</v>
      </c>
      <c r="N111" s="18">
        <v>33</v>
      </c>
      <c r="O111" s="83">
        <v>45495</v>
      </c>
      <c r="P111" s="84">
        <v>45859</v>
      </c>
      <c r="Q111" s="18" t="str">
        <f t="shared" si="29"/>
        <v>July</v>
      </c>
      <c r="R111" s="18">
        <f t="shared" si="30"/>
        <v>2024</v>
      </c>
      <c r="S111" s="18" t="s">
        <v>41</v>
      </c>
      <c r="T111" s="88" t="s">
        <v>104</v>
      </c>
      <c r="U111" s="88" t="s">
        <v>31</v>
      </c>
      <c r="V111" s="88"/>
      <c r="W111" s="89">
        <v>45444</v>
      </c>
      <c r="X111" s="88">
        <f ca="1" t="shared" si="37"/>
        <v>99</v>
      </c>
      <c r="Y111" s="88">
        <f t="shared" si="38"/>
        <v>51</v>
      </c>
      <c r="Z111" s="94">
        <f t="shared" si="33"/>
        <v>0.65</v>
      </c>
      <c r="AA111" t="str">
        <f t="shared" si="31"/>
        <v>Hares</v>
      </c>
    </row>
    <row r="112" s="55" customFormat="1" ht="16.5" spans="1:27">
      <c r="A112" s="18" t="s">
        <v>165</v>
      </c>
      <c r="B112" s="65" t="s">
        <v>27</v>
      </c>
      <c r="C112" s="60" t="s">
        <v>28</v>
      </c>
      <c r="D112" s="60" t="s">
        <v>28</v>
      </c>
      <c r="E112" s="61">
        <v>443102</v>
      </c>
      <c r="F112" s="61">
        <f t="shared" si="34"/>
        <v>22155.1</v>
      </c>
      <c r="G112" s="61">
        <v>10000</v>
      </c>
      <c r="H112" s="61">
        <f t="shared" si="35"/>
        <v>475257.1</v>
      </c>
      <c r="I112" s="61">
        <v>0</v>
      </c>
      <c r="J112" s="61">
        <f t="shared" si="36"/>
        <v>475257.1</v>
      </c>
      <c r="K112" s="61">
        <f t="shared" si="28"/>
        <v>475257.1</v>
      </c>
      <c r="L112" s="18">
        <v>1</v>
      </c>
      <c r="M112" s="68">
        <v>0</v>
      </c>
      <c r="N112" s="18">
        <v>1</v>
      </c>
      <c r="O112" s="83">
        <v>45496</v>
      </c>
      <c r="P112" s="84">
        <v>45860</v>
      </c>
      <c r="Q112" s="18" t="str">
        <f t="shared" si="29"/>
        <v>July</v>
      </c>
      <c r="R112" s="18">
        <f t="shared" si="30"/>
        <v>2024</v>
      </c>
      <c r="S112" s="18" t="s">
        <v>29</v>
      </c>
      <c r="T112" s="88" t="s">
        <v>29</v>
      </c>
      <c r="U112" s="88"/>
      <c r="V112" s="88"/>
      <c r="W112" s="89">
        <v>45459</v>
      </c>
      <c r="X112" s="88">
        <f ca="1" t="shared" si="37"/>
        <v>98</v>
      </c>
      <c r="Y112" s="88">
        <f t="shared" si="38"/>
        <v>37</v>
      </c>
      <c r="Z112" s="94">
        <f t="shared" si="33"/>
        <v>0</v>
      </c>
      <c r="AA112" t="str">
        <f t="shared" si="31"/>
        <v>Hares</v>
      </c>
    </row>
    <row r="113" s="55" customFormat="1" ht="16.5" spans="1:27">
      <c r="A113" s="18" t="s">
        <v>166</v>
      </c>
      <c r="B113" s="65" t="s">
        <v>27</v>
      </c>
      <c r="C113" s="60" t="s">
        <v>28</v>
      </c>
      <c r="D113" s="60" t="s">
        <v>28</v>
      </c>
      <c r="E113" s="61">
        <v>1293912</v>
      </c>
      <c r="F113" s="61">
        <f t="shared" si="34"/>
        <v>64695.6</v>
      </c>
      <c r="G113" s="61">
        <v>20000</v>
      </c>
      <c r="H113" s="61">
        <f t="shared" si="35"/>
        <v>1378607.6</v>
      </c>
      <c r="I113" s="61">
        <v>0</v>
      </c>
      <c r="J113" s="61">
        <f t="shared" si="36"/>
        <v>1378607.6</v>
      </c>
      <c r="K113" s="61">
        <f t="shared" si="28"/>
        <v>1378607.6</v>
      </c>
      <c r="L113" s="18">
        <v>1</v>
      </c>
      <c r="M113" s="68">
        <v>1</v>
      </c>
      <c r="N113" s="18">
        <v>2</v>
      </c>
      <c r="O113" s="83">
        <v>45497</v>
      </c>
      <c r="P113" s="84">
        <v>45861</v>
      </c>
      <c r="Q113" s="18" t="str">
        <f t="shared" si="29"/>
        <v>July</v>
      </c>
      <c r="R113" s="18">
        <f t="shared" si="30"/>
        <v>2024</v>
      </c>
      <c r="S113" s="18" t="s">
        <v>29</v>
      </c>
      <c r="T113" s="88" t="s">
        <v>29</v>
      </c>
      <c r="U113" s="88"/>
      <c r="V113" s="88"/>
      <c r="W113" s="89">
        <v>45495</v>
      </c>
      <c r="X113" s="88">
        <f ca="1" t="shared" si="37"/>
        <v>97</v>
      </c>
      <c r="Y113" s="88">
        <f t="shared" si="38"/>
        <v>2</v>
      </c>
      <c r="Z113" s="94">
        <f t="shared" si="33"/>
        <v>1</v>
      </c>
      <c r="AA113" t="str">
        <f t="shared" si="31"/>
        <v>Hares</v>
      </c>
    </row>
    <row r="114" s="55" customFormat="1" ht="16.5" spans="1:27">
      <c r="A114" s="18" t="s">
        <v>167</v>
      </c>
      <c r="B114" s="65" t="s">
        <v>27</v>
      </c>
      <c r="C114" s="60" t="s">
        <v>28</v>
      </c>
      <c r="D114" s="60" t="s">
        <v>28</v>
      </c>
      <c r="E114" s="61">
        <v>1424655</v>
      </c>
      <c r="F114" s="61">
        <f t="shared" si="34"/>
        <v>71232.75</v>
      </c>
      <c r="G114" s="61">
        <v>30000</v>
      </c>
      <c r="H114" s="61">
        <f t="shared" si="35"/>
        <v>1525887.75</v>
      </c>
      <c r="I114" s="61">
        <v>0</v>
      </c>
      <c r="J114" s="61">
        <f t="shared" si="36"/>
        <v>1525887.75</v>
      </c>
      <c r="K114" s="61">
        <f t="shared" si="28"/>
        <v>508629.25</v>
      </c>
      <c r="L114" s="18">
        <v>3</v>
      </c>
      <c r="M114" s="68">
        <v>1</v>
      </c>
      <c r="N114" s="18">
        <v>2</v>
      </c>
      <c r="O114" s="83">
        <v>45502</v>
      </c>
      <c r="P114" s="84">
        <v>45866</v>
      </c>
      <c r="Q114" s="18" t="str">
        <f t="shared" si="29"/>
        <v>July</v>
      </c>
      <c r="R114" s="18">
        <f t="shared" si="30"/>
        <v>2024</v>
      </c>
      <c r="S114" s="18" t="s">
        <v>35</v>
      </c>
      <c r="T114" s="88" t="s">
        <v>168</v>
      </c>
      <c r="U114" s="88"/>
      <c r="V114" s="88"/>
      <c r="W114" s="89">
        <v>45464</v>
      </c>
      <c r="X114" s="88">
        <f ca="1" t="shared" si="37"/>
        <v>92</v>
      </c>
      <c r="Y114" s="88">
        <f t="shared" si="38"/>
        <v>38</v>
      </c>
      <c r="Z114" s="94">
        <f t="shared" si="33"/>
        <v>0.33</v>
      </c>
      <c r="AA114" t="str">
        <f t="shared" si="31"/>
        <v>Hares</v>
      </c>
    </row>
    <row r="115" s="55" customFormat="1" ht="16.5" spans="1:27">
      <c r="A115" s="18" t="s">
        <v>169</v>
      </c>
      <c r="B115" s="65" t="s">
        <v>27</v>
      </c>
      <c r="C115" s="60" t="s">
        <v>28</v>
      </c>
      <c r="D115" s="60" t="s">
        <v>28</v>
      </c>
      <c r="E115" s="61">
        <v>2879583</v>
      </c>
      <c r="F115" s="61">
        <f t="shared" si="34"/>
        <v>143979.15</v>
      </c>
      <c r="G115" s="61">
        <v>70000</v>
      </c>
      <c r="H115" s="61">
        <f t="shared" si="35"/>
        <v>3093562.15</v>
      </c>
      <c r="I115" s="61">
        <v>0</v>
      </c>
      <c r="J115" s="61">
        <f t="shared" si="36"/>
        <v>3093562.15</v>
      </c>
      <c r="K115" s="61">
        <f t="shared" si="28"/>
        <v>441937.45</v>
      </c>
      <c r="L115" s="18">
        <v>7</v>
      </c>
      <c r="M115" s="68">
        <v>1</v>
      </c>
      <c r="N115" s="18">
        <v>6</v>
      </c>
      <c r="O115" s="83">
        <v>45502</v>
      </c>
      <c r="P115" s="84">
        <v>45866</v>
      </c>
      <c r="Q115" s="18" t="str">
        <f t="shared" si="29"/>
        <v>July</v>
      </c>
      <c r="R115" s="18">
        <f t="shared" si="30"/>
        <v>2024</v>
      </c>
      <c r="S115" s="18" t="s">
        <v>35</v>
      </c>
      <c r="T115" s="88" t="s">
        <v>168</v>
      </c>
      <c r="U115" s="88"/>
      <c r="V115" s="88"/>
      <c r="W115" s="89">
        <v>45464</v>
      </c>
      <c r="X115" s="88">
        <f ca="1" t="shared" si="37"/>
        <v>92</v>
      </c>
      <c r="Y115" s="88">
        <f t="shared" si="38"/>
        <v>38</v>
      </c>
      <c r="Z115" s="95">
        <f t="shared" si="33"/>
        <v>0.14</v>
      </c>
      <c r="AA115" t="str">
        <f t="shared" si="31"/>
        <v>Hares</v>
      </c>
    </row>
    <row r="116" s="55" customFormat="1" ht="16.5" spans="1:27">
      <c r="A116" s="18" t="s">
        <v>170</v>
      </c>
      <c r="B116" s="65" t="s">
        <v>27</v>
      </c>
      <c r="C116" s="60" t="s">
        <v>28</v>
      </c>
      <c r="D116" s="60" t="s">
        <v>28</v>
      </c>
      <c r="E116" s="61">
        <v>449234</v>
      </c>
      <c r="F116" s="61">
        <f t="shared" si="34"/>
        <v>22461.7</v>
      </c>
      <c r="G116" s="61">
        <v>10000</v>
      </c>
      <c r="H116" s="61">
        <f t="shared" si="35"/>
        <v>481695.7</v>
      </c>
      <c r="I116" s="61">
        <v>0</v>
      </c>
      <c r="J116" s="61">
        <f t="shared" si="36"/>
        <v>481695.7</v>
      </c>
      <c r="K116" s="61">
        <f t="shared" si="28"/>
        <v>481695.7</v>
      </c>
      <c r="L116" s="18">
        <v>1</v>
      </c>
      <c r="M116" s="68">
        <v>1</v>
      </c>
      <c r="N116" s="18">
        <v>0</v>
      </c>
      <c r="O116" s="83">
        <v>45502</v>
      </c>
      <c r="P116" s="84">
        <v>45866</v>
      </c>
      <c r="Q116" s="18" t="str">
        <f t="shared" si="29"/>
        <v>July</v>
      </c>
      <c r="R116" s="18">
        <f t="shared" si="30"/>
        <v>2024</v>
      </c>
      <c r="S116" s="18" t="s">
        <v>35</v>
      </c>
      <c r="T116" s="88" t="s">
        <v>168</v>
      </c>
      <c r="U116" s="88"/>
      <c r="V116" s="88"/>
      <c r="W116" s="89">
        <v>45464</v>
      </c>
      <c r="X116" s="88">
        <f ca="1" t="shared" si="37"/>
        <v>92</v>
      </c>
      <c r="Y116" s="88">
        <f t="shared" si="38"/>
        <v>38</v>
      </c>
      <c r="Z116" s="94">
        <f t="shared" si="33"/>
        <v>1</v>
      </c>
      <c r="AA116" t="str">
        <f t="shared" si="31"/>
        <v>Hares</v>
      </c>
    </row>
    <row r="117" s="55" customFormat="1" ht="16.5" spans="1:27">
      <c r="A117" s="18" t="s">
        <v>171</v>
      </c>
      <c r="B117" s="65" t="s">
        <v>27</v>
      </c>
      <c r="C117" s="60" t="s">
        <v>28</v>
      </c>
      <c r="D117" s="60" t="s">
        <v>28</v>
      </c>
      <c r="E117" s="61">
        <v>81852963</v>
      </c>
      <c r="F117" s="61">
        <f t="shared" si="34"/>
        <v>4092648.15</v>
      </c>
      <c r="G117" s="61">
        <v>2210000</v>
      </c>
      <c r="H117" s="61">
        <f t="shared" si="35"/>
        <v>88155611.15</v>
      </c>
      <c r="I117" s="61"/>
      <c r="J117" s="61">
        <f t="shared" si="36"/>
        <v>88155611.15</v>
      </c>
      <c r="K117" s="61">
        <f t="shared" si="28"/>
        <v>199447.084049774</v>
      </c>
      <c r="L117" s="18">
        <v>442</v>
      </c>
      <c r="M117" s="68">
        <v>0</v>
      </c>
      <c r="N117" s="18">
        <v>442</v>
      </c>
      <c r="O117" s="83">
        <v>45510</v>
      </c>
      <c r="P117" s="84">
        <v>45874</v>
      </c>
      <c r="Q117" s="18" t="str">
        <f t="shared" si="29"/>
        <v>August</v>
      </c>
      <c r="R117" s="18">
        <f t="shared" si="30"/>
        <v>2024</v>
      </c>
      <c r="S117" s="18" t="s">
        <v>29</v>
      </c>
      <c r="T117" s="88" t="s">
        <v>86</v>
      </c>
      <c r="U117" s="88" t="s">
        <v>31</v>
      </c>
      <c r="V117" s="90" t="s">
        <v>87</v>
      </c>
      <c r="W117" s="89">
        <v>45476</v>
      </c>
      <c r="X117" s="88">
        <f ca="1" t="shared" si="37"/>
        <v>84</v>
      </c>
      <c r="Y117" s="88">
        <f t="shared" si="38"/>
        <v>34</v>
      </c>
      <c r="Z117" s="94">
        <f t="shared" si="33"/>
        <v>0</v>
      </c>
      <c r="AA117" t="str">
        <f t="shared" si="31"/>
        <v>Elephants</v>
      </c>
    </row>
    <row r="118" s="55" customFormat="1" ht="16.5" spans="1:27">
      <c r="A118" s="18" t="s">
        <v>172</v>
      </c>
      <c r="B118" s="65" t="s">
        <v>27</v>
      </c>
      <c r="C118" s="60" t="s">
        <v>28</v>
      </c>
      <c r="D118" s="60" t="s">
        <v>28</v>
      </c>
      <c r="E118" s="61">
        <v>7878987</v>
      </c>
      <c r="F118" s="61">
        <f t="shared" si="34"/>
        <v>393949.35</v>
      </c>
      <c r="G118" s="61">
        <v>150000</v>
      </c>
      <c r="H118" s="61">
        <f t="shared" si="35"/>
        <v>8422936.35</v>
      </c>
      <c r="I118" s="61"/>
      <c r="J118" s="61">
        <f t="shared" si="36"/>
        <v>8422936.35</v>
      </c>
      <c r="K118" s="61">
        <f t="shared" si="28"/>
        <v>935881.816666667</v>
      </c>
      <c r="L118" s="18">
        <v>9</v>
      </c>
      <c r="M118" s="68">
        <v>6</v>
      </c>
      <c r="N118" s="18">
        <v>15</v>
      </c>
      <c r="O118" s="83">
        <v>45512</v>
      </c>
      <c r="P118" s="84">
        <v>45876</v>
      </c>
      <c r="Q118" s="18" t="str">
        <f t="shared" si="29"/>
        <v>August</v>
      </c>
      <c r="R118" s="18">
        <f t="shared" si="30"/>
        <v>2024</v>
      </c>
      <c r="S118" s="18" t="s">
        <v>29</v>
      </c>
      <c r="T118" s="88" t="s">
        <v>86</v>
      </c>
      <c r="U118" s="88" t="s">
        <v>31</v>
      </c>
      <c r="V118" s="90" t="s">
        <v>87</v>
      </c>
      <c r="W118" s="89">
        <v>45464</v>
      </c>
      <c r="X118" s="88">
        <f ca="1" t="shared" si="37"/>
        <v>82</v>
      </c>
      <c r="Y118" s="88">
        <f t="shared" si="38"/>
        <v>48</v>
      </c>
      <c r="Z118" s="94">
        <f t="shared" si="33"/>
        <v>0.67</v>
      </c>
      <c r="AA118" t="str">
        <f t="shared" si="31"/>
        <v>Hares</v>
      </c>
    </row>
    <row r="119" s="55" customFormat="1" ht="16.5" spans="1:27">
      <c r="A119" s="18" t="s">
        <v>173</v>
      </c>
      <c r="B119" s="65" t="s">
        <v>27</v>
      </c>
      <c r="C119" s="60" t="s">
        <v>28</v>
      </c>
      <c r="D119" s="60" t="s">
        <v>28</v>
      </c>
      <c r="E119" s="61">
        <v>2387323</v>
      </c>
      <c r="F119" s="61">
        <f t="shared" si="34"/>
        <v>119366.15</v>
      </c>
      <c r="G119" s="61">
        <v>20000</v>
      </c>
      <c r="H119" s="61">
        <f t="shared" si="35"/>
        <v>2526689.15</v>
      </c>
      <c r="I119" s="61"/>
      <c r="J119" s="61">
        <f t="shared" si="36"/>
        <v>2526689.15</v>
      </c>
      <c r="K119" s="61">
        <f t="shared" si="28"/>
        <v>2526689.15</v>
      </c>
      <c r="L119" s="18">
        <v>1</v>
      </c>
      <c r="M119" s="68">
        <v>1</v>
      </c>
      <c r="N119" s="18">
        <v>2</v>
      </c>
      <c r="O119" s="83">
        <v>45516</v>
      </c>
      <c r="P119" s="84">
        <v>45880</v>
      </c>
      <c r="Q119" s="18" t="str">
        <f t="shared" si="29"/>
        <v>August</v>
      </c>
      <c r="R119" s="18">
        <f t="shared" si="30"/>
        <v>2024</v>
      </c>
      <c r="S119" s="18" t="s">
        <v>29</v>
      </c>
      <c r="T119" s="88" t="s">
        <v>29</v>
      </c>
      <c r="U119" s="88"/>
      <c r="V119" s="88"/>
      <c r="W119" s="89">
        <v>45510</v>
      </c>
      <c r="X119" s="88">
        <f ca="1" t="shared" si="37"/>
        <v>78</v>
      </c>
      <c r="Y119" s="88">
        <f t="shared" si="38"/>
        <v>6</v>
      </c>
      <c r="Z119" s="95">
        <f t="shared" si="33"/>
        <v>1</v>
      </c>
      <c r="AA119" t="str">
        <f t="shared" si="31"/>
        <v>Hares</v>
      </c>
    </row>
    <row r="120" s="55" customFormat="1" ht="16.5" spans="1:27">
      <c r="A120" s="18" t="s">
        <v>174</v>
      </c>
      <c r="B120" s="65" t="s">
        <v>27</v>
      </c>
      <c r="C120" s="60" t="s">
        <v>28</v>
      </c>
      <c r="D120" s="60" t="s">
        <v>28</v>
      </c>
      <c r="E120" s="61">
        <v>562108</v>
      </c>
      <c r="F120" s="61">
        <f t="shared" si="34"/>
        <v>28105.4</v>
      </c>
      <c r="G120" s="61">
        <v>10000</v>
      </c>
      <c r="H120" s="61">
        <f t="shared" si="35"/>
        <v>600213.4</v>
      </c>
      <c r="I120" s="61"/>
      <c r="J120" s="61">
        <f t="shared" si="36"/>
        <v>600213.4</v>
      </c>
      <c r="K120" s="61">
        <f t="shared" si="28"/>
        <v>600213.4</v>
      </c>
      <c r="L120" s="18">
        <v>1</v>
      </c>
      <c r="M120" s="68">
        <v>0</v>
      </c>
      <c r="N120" s="18">
        <v>1</v>
      </c>
      <c r="O120" s="83">
        <v>45516</v>
      </c>
      <c r="P120" s="84">
        <v>45880</v>
      </c>
      <c r="Q120" s="18" t="str">
        <f t="shared" si="29"/>
        <v>August</v>
      </c>
      <c r="R120" s="18">
        <f t="shared" si="30"/>
        <v>2024</v>
      </c>
      <c r="S120" s="18" t="s">
        <v>29</v>
      </c>
      <c r="T120" s="88" t="s">
        <v>29</v>
      </c>
      <c r="U120" s="88"/>
      <c r="V120" s="88"/>
      <c r="W120" s="89">
        <v>45512</v>
      </c>
      <c r="X120" s="88">
        <f ca="1" t="shared" si="37"/>
        <v>78</v>
      </c>
      <c r="Y120" s="88">
        <f t="shared" si="38"/>
        <v>4</v>
      </c>
      <c r="Z120" s="94">
        <f t="shared" si="33"/>
        <v>0</v>
      </c>
      <c r="AA120" t="str">
        <f t="shared" si="31"/>
        <v>Hares</v>
      </c>
    </row>
    <row r="121" s="55" customFormat="1" ht="16.5" spans="1:27">
      <c r="A121" s="18" t="s">
        <v>175</v>
      </c>
      <c r="B121" s="65" t="s">
        <v>91</v>
      </c>
      <c r="C121" s="60" t="s">
        <v>28</v>
      </c>
      <c r="D121" s="53" t="s">
        <v>92</v>
      </c>
      <c r="E121" s="61">
        <v>10810931</v>
      </c>
      <c r="F121" s="61">
        <f t="shared" si="34"/>
        <v>540546.55</v>
      </c>
      <c r="G121" s="61">
        <v>330000</v>
      </c>
      <c r="H121" s="61">
        <f t="shared" si="35"/>
        <v>11681477.55</v>
      </c>
      <c r="I121" s="61"/>
      <c r="J121" s="61">
        <f t="shared" si="36"/>
        <v>11681477.55</v>
      </c>
      <c r="K121" s="61">
        <f t="shared" si="28"/>
        <v>834391.253571429</v>
      </c>
      <c r="L121" s="18">
        <v>14</v>
      </c>
      <c r="M121" s="68">
        <v>19</v>
      </c>
      <c r="N121" s="18">
        <v>33</v>
      </c>
      <c r="O121" s="83">
        <v>45519</v>
      </c>
      <c r="P121" s="84">
        <v>45883</v>
      </c>
      <c r="Q121" s="18" t="str">
        <f t="shared" si="29"/>
        <v>August</v>
      </c>
      <c r="R121" s="18">
        <f t="shared" si="30"/>
        <v>2024</v>
      </c>
      <c r="S121" s="18" t="s">
        <v>35</v>
      </c>
      <c r="T121" s="88" t="s">
        <v>176</v>
      </c>
      <c r="U121" s="88"/>
      <c r="V121" s="88"/>
      <c r="W121" s="89">
        <v>45511</v>
      </c>
      <c r="X121" s="88">
        <f ca="1" t="shared" si="37"/>
        <v>75</v>
      </c>
      <c r="Y121" s="88">
        <f t="shared" si="38"/>
        <v>8</v>
      </c>
      <c r="Z121" s="94">
        <f t="shared" si="33"/>
        <v>1.36</v>
      </c>
      <c r="AA121" t="str">
        <f t="shared" si="31"/>
        <v>Hares</v>
      </c>
    </row>
    <row r="122" s="55" customFormat="1" ht="16.5" spans="1:27">
      <c r="A122" s="18" t="s">
        <v>177</v>
      </c>
      <c r="B122" s="65" t="s">
        <v>27</v>
      </c>
      <c r="C122" s="60" t="s">
        <v>28</v>
      </c>
      <c r="D122" s="60" t="s">
        <v>28</v>
      </c>
      <c r="E122" s="61">
        <v>6468621</v>
      </c>
      <c r="F122" s="61">
        <f t="shared" si="34"/>
        <v>323431.05</v>
      </c>
      <c r="G122" s="61">
        <v>190000</v>
      </c>
      <c r="H122" s="61">
        <f t="shared" si="35"/>
        <v>6982052.05</v>
      </c>
      <c r="I122" s="61"/>
      <c r="J122" s="61">
        <f t="shared" si="36"/>
        <v>6982052.05</v>
      </c>
      <c r="K122" s="61">
        <f t="shared" si="28"/>
        <v>872756.50625</v>
      </c>
      <c r="L122" s="18">
        <v>8</v>
      </c>
      <c r="M122" s="68">
        <v>11</v>
      </c>
      <c r="N122" s="18">
        <v>19</v>
      </c>
      <c r="O122" s="83">
        <v>45521</v>
      </c>
      <c r="P122" s="84">
        <v>45885</v>
      </c>
      <c r="Q122" s="18" t="str">
        <f t="shared" si="29"/>
        <v>August</v>
      </c>
      <c r="R122" s="18">
        <f t="shared" si="30"/>
        <v>2024</v>
      </c>
      <c r="S122" s="18" t="s">
        <v>29</v>
      </c>
      <c r="T122" s="88" t="s">
        <v>131</v>
      </c>
      <c r="U122" s="88" t="s">
        <v>31</v>
      </c>
      <c r="V122" s="90" t="s">
        <v>83</v>
      </c>
      <c r="W122" s="89">
        <v>45411</v>
      </c>
      <c r="X122" s="88">
        <f ca="1" t="shared" si="37"/>
        <v>73</v>
      </c>
      <c r="Y122" s="88">
        <f t="shared" si="38"/>
        <v>110</v>
      </c>
      <c r="Z122" s="94">
        <f t="shared" si="33"/>
        <v>1.38</v>
      </c>
      <c r="AA122" t="str">
        <f t="shared" si="31"/>
        <v>Hares</v>
      </c>
    </row>
    <row r="123" s="55" customFormat="1" ht="16.5" spans="1:27">
      <c r="A123" s="18" t="s">
        <v>178</v>
      </c>
      <c r="B123" s="65" t="s">
        <v>27</v>
      </c>
      <c r="C123" s="60" t="s">
        <v>28</v>
      </c>
      <c r="D123" s="60" t="s">
        <v>28</v>
      </c>
      <c r="E123" s="61">
        <v>4486701</v>
      </c>
      <c r="F123" s="61">
        <f t="shared" si="34"/>
        <v>224335.05</v>
      </c>
      <c r="G123" s="61">
        <v>55000</v>
      </c>
      <c r="H123" s="61">
        <f t="shared" si="35"/>
        <v>4766036.05</v>
      </c>
      <c r="I123" s="61"/>
      <c r="J123" s="61">
        <f t="shared" si="36"/>
        <v>4766036.05</v>
      </c>
      <c r="K123" s="61">
        <f t="shared" si="28"/>
        <v>953207.21</v>
      </c>
      <c r="L123" s="18">
        <v>5</v>
      </c>
      <c r="M123" s="68">
        <v>6</v>
      </c>
      <c r="N123" s="61">
        <f>L123+M123</f>
        <v>11</v>
      </c>
      <c r="O123" s="83">
        <v>45521</v>
      </c>
      <c r="P123" s="84">
        <v>45885</v>
      </c>
      <c r="Q123" s="18" t="str">
        <f t="shared" si="29"/>
        <v>August</v>
      </c>
      <c r="R123" s="18">
        <f t="shared" si="30"/>
        <v>2024</v>
      </c>
      <c r="S123" s="18" t="s">
        <v>29</v>
      </c>
      <c r="T123" s="88" t="s">
        <v>179</v>
      </c>
      <c r="U123" s="88" t="s">
        <v>31</v>
      </c>
      <c r="V123" s="90" t="s">
        <v>87</v>
      </c>
      <c r="W123" s="89">
        <v>45475</v>
      </c>
      <c r="X123" s="88">
        <f ca="1" t="shared" si="37"/>
        <v>73</v>
      </c>
      <c r="Y123" s="88">
        <f t="shared" si="38"/>
        <v>46</v>
      </c>
      <c r="Z123" s="94">
        <f t="shared" si="33"/>
        <v>1.2</v>
      </c>
      <c r="AA123" t="str">
        <f t="shared" si="31"/>
        <v>Hares</v>
      </c>
    </row>
    <row r="124" s="55" customFormat="1" ht="16.5" spans="1:27">
      <c r="A124" s="18" t="s">
        <v>84</v>
      </c>
      <c r="B124" s="65" t="s">
        <v>27</v>
      </c>
      <c r="C124" s="60" t="s">
        <v>71</v>
      </c>
      <c r="D124" s="60" t="s">
        <v>71</v>
      </c>
      <c r="E124" s="64"/>
      <c r="F124" s="64"/>
      <c r="G124" s="64"/>
      <c r="H124" s="64"/>
      <c r="I124" s="64"/>
      <c r="J124" s="72">
        <v>1185065</v>
      </c>
      <c r="K124" s="61">
        <f t="shared" si="28"/>
        <v>237013</v>
      </c>
      <c r="L124" s="73">
        <v>5</v>
      </c>
      <c r="M124" s="68">
        <v>0</v>
      </c>
      <c r="N124" s="73">
        <v>5</v>
      </c>
      <c r="O124" s="74">
        <v>45536</v>
      </c>
      <c r="P124" s="75">
        <v>45716</v>
      </c>
      <c r="Q124" s="18" t="str">
        <f t="shared" si="29"/>
        <v>September</v>
      </c>
      <c r="R124" s="18">
        <f t="shared" si="30"/>
        <v>2024</v>
      </c>
      <c r="S124" s="18" t="s">
        <v>29</v>
      </c>
      <c r="T124" s="88" t="s">
        <v>30</v>
      </c>
      <c r="U124" s="88" t="s">
        <v>31</v>
      </c>
      <c r="V124" s="90" t="s">
        <v>32</v>
      </c>
      <c r="W124" s="93"/>
      <c r="X124" s="93"/>
      <c r="Y124" s="93"/>
      <c r="Z124" s="94">
        <f t="shared" si="33"/>
        <v>0</v>
      </c>
      <c r="AA124" t="str">
        <f t="shared" si="31"/>
        <v>Hares</v>
      </c>
    </row>
    <row r="125" s="55" customFormat="1" ht="16.5" spans="1:27">
      <c r="A125" s="18" t="s">
        <v>180</v>
      </c>
      <c r="B125" s="65" t="s">
        <v>27</v>
      </c>
      <c r="C125" s="60" t="s">
        <v>28</v>
      </c>
      <c r="D125" s="60" t="s">
        <v>28</v>
      </c>
      <c r="E125" s="61">
        <v>5141252</v>
      </c>
      <c r="F125" s="61">
        <f>E125*5%</f>
        <v>257062.6</v>
      </c>
      <c r="G125" s="61">
        <v>90000</v>
      </c>
      <c r="H125" s="61">
        <f>SUM(E125:G125)</f>
        <v>5488314.6</v>
      </c>
      <c r="I125" s="61">
        <v>0</v>
      </c>
      <c r="J125" s="61">
        <f>SUM(H125:I125)</f>
        <v>5488314.6</v>
      </c>
      <c r="K125" s="61">
        <f t="shared" si="28"/>
        <v>1829438.2</v>
      </c>
      <c r="L125" s="18">
        <v>3</v>
      </c>
      <c r="M125" s="68">
        <v>6</v>
      </c>
      <c r="N125" s="18">
        <v>9</v>
      </c>
      <c r="O125" s="83">
        <v>45536</v>
      </c>
      <c r="P125" s="84">
        <v>45900</v>
      </c>
      <c r="Q125" s="18" t="str">
        <f t="shared" si="29"/>
        <v>September</v>
      </c>
      <c r="R125" s="18">
        <f t="shared" si="30"/>
        <v>2024</v>
      </c>
      <c r="S125" s="18" t="s">
        <v>29</v>
      </c>
      <c r="T125" s="88" t="s">
        <v>86</v>
      </c>
      <c r="U125" s="88" t="s">
        <v>31</v>
      </c>
      <c r="V125" s="90" t="s">
        <v>87</v>
      </c>
      <c r="W125" s="89">
        <v>45314</v>
      </c>
      <c r="X125" s="88"/>
      <c r="Y125" s="88"/>
      <c r="Z125" s="94">
        <f t="shared" si="33"/>
        <v>2</v>
      </c>
      <c r="AA125" t="str">
        <f t="shared" si="31"/>
        <v>Hares</v>
      </c>
    </row>
    <row r="126" s="55" customFormat="1" ht="16.5" spans="1:27">
      <c r="A126" s="18" t="s">
        <v>181</v>
      </c>
      <c r="B126" s="65" t="s">
        <v>27</v>
      </c>
      <c r="C126" s="60" t="s">
        <v>71</v>
      </c>
      <c r="D126" s="60" t="s">
        <v>71</v>
      </c>
      <c r="E126" s="64"/>
      <c r="F126" s="64"/>
      <c r="G126" s="64"/>
      <c r="H126" s="64"/>
      <c r="I126" s="64"/>
      <c r="J126" s="72">
        <v>45546376</v>
      </c>
      <c r="K126" s="61">
        <f t="shared" si="28"/>
        <v>42887.3596986817</v>
      </c>
      <c r="L126" s="73">
        <v>1062</v>
      </c>
      <c r="M126" s="68">
        <v>0</v>
      </c>
      <c r="N126" s="73">
        <v>1062</v>
      </c>
      <c r="O126" s="74">
        <v>45536</v>
      </c>
      <c r="P126" s="75">
        <v>45657</v>
      </c>
      <c r="Q126" s="18" t="str">
        <f t="shared" si="29"/>
        <v>September</v>
      </c>
      <c r="R126" s="18">
        <f t="shared" si="30"/>
        <v>2024</v>
      </c>
      <c r="S126" s="18" t="s">
        <v>29</v>
      </c>
      <c r="T126" s="88" t="s">
        <v>86</v>
      </c>
      <c r="U126" s="88" t="s">
        <v>31</v>
      </c>
      <c r="V126" s="90" t="s">
        <v>87</v>
      </c>
      <c r="W126" s="93"/>
      <c r="X126" s="93"/>
      <c r="Y126" s="93"/>
      <c r="Z126" s="94">
        <f t="shared" si="33"/>
        <v>0</v>
      </c>
      <c r="AA126" t="str">
        <f t="shared" si="31"/>
        <v>Whales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>
    <sortState ref="A2:AE126">
      <sortCondition ref="O2:O90"/>
    </sortState>
    <extLst/>
  </autoFilter>
  <sortState ref="A3:AA1054">
    <sortCondition ref="O3"/>
  </sortState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B2" sqref="B2"/>
    </sheetView>
  </sheetViews>
  <sheetFormatPr defaultColWidth="9" defaultRowHeight="15" outlineLevelCol="3"/>
  <cols>
    <col min="1" max="1" width="30" style="51" customWidth="1"/>
    <col min="2" max="3" width="10.8571428571429" style="51" customWidth="1"/>
    <col min="4" max="4" width="16" style="51" customWidth="1"/>
    <col min="5" max="16384" width="9.14285714285714" style="51"/>
  </cols>
  <sheetData>
    <row r="1" ht="28.5" spans="1:4">
      <c r="A1" s="52" t="s">
        <v>21</v>
      </c>
      <c r="B1" s="52" t="s">
        <v>182</v>
      </c>
      <c r="C1" s="52" t="s">
        <v>3</v>
      </c>
      <c r="D1" s="52" t="s">
        <v>183</v>
      </c>
    </row>
    <row r="2" spans="1:4">
      <c r="A2" s="53" t="s">
        <v>184</v>
      </c>
      <c r="B2" s="53" t="s">
        <v>92</v>
      </c>
      <c r="C2" s="53" t="s">
        <v>92</v>
      </c>
      <c r="D2" s="54">
        <v>119881450</v>
      </c>
    </row>
    <row r="3" spans="1:4">
      <c r="A3" s="53" t="s">
        <v>184</v>
      </c>
      <c r="B3" s="53" t="s">
        <v>28</v>
      </c>
      <c r="C3" s="53" t="s">
        <v>28</v>
      </c>
      <c r="D3" s="54">
        <v>600000000</v>
      </c>
    </row>
    <row r="4" spans="1:4">
      <c r="A4" s="53" t="s">
        <v>184</v>
      </c>
      <c r="B4" s="53" t="s">
        <v>71</v>
      </c>
      <c r="C4" s="53" t="s">
        <v>71</v>
      </c>
      <c r="D4" s="54">
        <v>400000000</v>
      </c>
    </row>
    <row r="5" spans="1:4">
      <c r="A5" s="53" t="s">
        <v>87</v>
      </c>
      <c r="B5" s="53" t="s">
        <v>92</v>
      </c>
      <c r="C5" s="53" t="s">
        <v>92</v>
      </c>
      <c r="D5" s="54">
        <v>119881450</v>
      </c>
    </row>
    <row r="6" spans="1:4">
      <c r="A6" s="53" t="s">
        <v>87</v>
      </c>
      <c r="B6" s="53" t="s">
        <v>28</v>
      </c>
      <c r="C6" s="53" t="s">
        <v>28</v>
      </c>
      <c r="D6" s="54">
        <v>1200000000</v>
      </c>
    </row>
    <row r="7" spans="1:4">
      <c r="A7" s="53" t="s">
        <v>87</v>
      </c>
      <c r="B7" s="53" t="s">
        <v>71</v>
      </c>
      <c r="C7" s="53" t="s">
        <v>71</v>
      </c>
      <c r="D7" s="54">
        <v>500000000</v>
      </c>
    </row>
    <row r="8" spans="1:4">
      <c r="A8" s="53" t="s">
        <v>125</v>
      </c>
      <c r="B8" s="53" t="s">
        <v>92</v>
      </c>
      <c r="C8" s="53" t="s">
        <v>92</v>
      </c>
      <c r="D8" s="54">
        <v>119881450</v>
      </c>
    </row>
    <row r="9" spans="1:4">
      <c r="A9" s="53" t="s">
        <v>125</v>
      </c>
      <c r="B9" s="53" t="s">
        <v>28</v>
      </c>
      <c r="C9" s="53" t="s">
        <v>28</v>
      </c>
      <c r="D9" s="54">
        <v>1200000000</v>
      </c>
    </row>
    <row r="10" spans="1:4">
      <c r="A10" s="53" t="s">
        <v>125</v>
      </c>
      <c r="B10" s="53" t="s">
        <v>71</v>
      </c>
      <c r="C10" s="53" t="s">
        <v>71</v>
      </c>
      <c r="D10" s="54">
        <v>500000000</v>
      </c>
    </row>
    <row r="11" spans="1:4">
      <c r="A11" s="53" t="s">
        <v>83</v>
      </c>
      <c r="B11" s="53" t="s">
        <v>92</v>
      </c>
      <c r="C11" s="53" t="s">
        <v>92</v>
      </c>
      <c r="D11" s="54">
        <v>119881450</v>
      </c>
    </row>
    <row r="12" spans="1:4">
      <c r="A12" s="53" t="s">
        <v>83</v>
      </c>
      <c r="B12" s="53" t="s">
        <v>28</v>
      </c>
      <c r="C12" s="53" t="s">
        <v>28</v>
      </c>
      <c r="D12" s="54">
        <v>1200000000</v>
      </c>
    </row>
    <row r="13" spans="1:4">
      <c r="A13" s="53" t="s">
        <v>83</v>
      </c>
      <c r="B13" s="53" t="s">
        <v>71</v>
      </c>
      <c r="C13" s="53" t="s">
        <v>71</v>
      </c>
      <c r="D13" s="54">
        <v>200000000</v>
      </c>
    </row>
    <row r="14" spans="1:4">
      <c r="A14" s="53" t="s">
        <v>108</v>
      </c>
      <c r="B14" s="53" t="s">
        <v>92</v>
      </c>
      <c r="C14" s="53" t="s">
        <v>92</v>
      </c>
      <c r="D14" s="54">
        <v>119881450</v>
      </c>
    </row>
    <row r="15" spans="1:4">
      <c r="A15" s="53" t="s">
        <v>108</v>
      </c>
      <c r="B15" s="53" t="s">
        <v>28</v>
      </c>
      <c r="C15" s="53" t="s">
        <v>28</v>
      </c>
      <c r="D15" s="54">
        <v>1050000000</v>
      </c>
    </row>
    <row r="16" spans="1:4">
      <c r="A16" s="53" t="s">
        <v>108</v>
      </c>
      <c r="B16" s="53" t="s">
        <v>71</v>
      </c>
      <c r="C16" s="53" t="s">
        <v>71</v>
      </c>
      <c r="D16" s="54">
        <v>200000000</v>
      </c>
    </row>
    <row r="17" spans="1:4">
      <c r="A17" s="53" t="s">
        <v>32</v>
      </c>
      <c r="B17" s="53" t="s">
        <v>92</v>
      </c>
      <c r="C17" s="53" t="s">
        <v>92</v>
      </c>
      <c r="D17" s="54">
        <v>119881450</v>
      </c>
    </row>
    <row r="18" spans="1:4">
      <c r="A18" s="53" t="s">
        <v>32</v>
      </c>
      <c r="B18" s="53" t="s">
        <v>28</v>
      </c>
      <c r="C18" s="53" t="s">
        <v>28</v>
      </c>
      <c r="D18" s="54">
        <v>1050000000</v>
      </c>
    </row>
    <row r="19" spans="1:4">
      <c r="A19" s="53" t="s">
        <v>32</v>
      </c>
      <c r="B19" s="53" t="s">
        <v>71</v>
      </c>
      <c r="C19" s="53" t="s">
        <v>71</v>
      </c>
      <c r="D19" s="54">
        <v>200000000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7"/>
  <sheetViews>
    <sheetView tabSelected="1" topLeftCell="C153" workbookViewId="0">
      <selection activeCell="J232" sqref="J232"/>
    </sheetView>
  </sheetViews>
  <sheetFormatPr defaultColWidth="14.4285714285714" defaultRowHeight="15" customHeight="1"/>
  <cols>
    <col min="1" max="1" width="49.5714285714286" customWidth="1"/>
    <col min="2" max="2" width="39.7142857142857" customWidth="1"/>
    <col min="3" max="3" width="42.8571428571429" customWidth="1"/>
    <col min="4" max="4" width="13.1428571428571" style="23" customWidth="1"/>
    <col min="5" max="5" width="13.1428571428571" customWidth="1"/>
    <col min="6" max="6" width="13.4285714285714" customWidth="1"/>
    <col min="7" max="7" width="22.8571428571429" customWidth="1"/>
    <col min="8" max="8" width="8.71428571428571" customWidth="1"/>
    <col min="9" max="9" width="20.1428571428571" customWidth="1"/>
    <col min="10" max="10" width="21.7142857142857" customWidth="1"/>
    <col min="11" max="11" width="11.8571428571429" customWidth="1"/>
    <col min="12" max="12" width="10.1428571428571" customWidth="1"/>
    <col min="13" max="13" width="17.5714285714286" customWidth="1"/>
    <col min="14" max="15" width="14.2857142857143" customWidth="1"/>
    <col min="16" max="16" width="28.2857142857143" customWidth="1"/>
    <col min="17" max="27" width="8.71428571428571" customWidth="1"/>
  </cols>
  <sheetData>
    <row r="1" spans="1:15">
      <c r="A1" s="24" t="s">
        <v>0</v>
      </c>
      <c r="B1" s="24" t="s">
        <v>18</v>
      </c>
      <c r="C1" s="24" t="s">
        <v>185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186</v>
      </c>
      <c r="I1" s="26" t="s">
        <v>187</v>
      </c>
      <c r="J1" s="26" t="s">
        <v>188</v>
      </c>
      <c r="K1" s="26" t="s">
        <v>189</v>
      </c>
      <c r="L1" s="26" t="s">
        <v>190</v>
      </c>
      <c r="M1" s="26" t="s">
        <v>9</v>
      </c>
      <c r="N1" s="31" t="s">
        <v>191</v>
      </c>
      <c r="O1" s="17" t="s">
        <v>2</v>
      </c>
    </row>
    <row r="2" ht="16.5" spans="1:17">
      <c r="A2" s="27" t="s">
        <v>192</v>
      </c>
      <c r="B2" s="27" t="s">
        <v>35</v>
      </c>
      <c r="C2" s="27" t="s">
        <v>193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</v>
      </c>
      <c r="K2" s="32">
        <f t="shared" ref="K2:K117" si="2">J2*5%</f>
        <v>36283.0821917808</v>
      </c>
      <c r="L2" s="32">
        <v>40000</v>
      </c>
      <c r="M2" s="32">
        <f t="shared" ref="M2:M117" si="3">SUM(J2:L2)</f>
        <v>801944.726027397</v>
      </c>
      <c r="N2" s="33" t="s">
        <v>194</v>
      </c>
      <c r="O2" s="33" t="s">
        <v>28</v>
      </c>
      <c r="Q2" s="34"/>
    </row>
    <row r="3" ht="16.5" spans="1:17">
      <c r="A3" s="27" t="s">
        <v>38</v>
      </c>
      <c r="B3" s="27" t="s">
        <v>29</v>
      </c>
      <c r="C3" s="27" t="s">
        <v>195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</v>
      </c>
      <c r="K3" s="32">
        <f t="shared" si="2"/>
        <v>5082.46534246575</v>
      </c>
      <c r="L3" s="32">
        <v>5000</v>
      </c>
      <c r="M3" s="32">
        <f t="shared" si="3"/>
        <v>111731.772191781</v>
      </c>
      <c r="N3" s="33" t="s">
        <v>194</v>
      </c>
      <c r="O3" s="33" t="s">
        <v>28</v>
      </c>
      <c r="Q3" s="34"/>
    </row>
    <row r="4" ht="16.5" spans="1:17">
      <c r="A4" s="27" t="s">
        <v>38</v>
      </c>
      <c r="B4" s="27" t="s">
        <v>29</v>
      </c>
      <c r="C4" s="27" t="s">
        <v>196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</v>
      </c>
      <c r="K4" s="32">
        <f t="shared" si="2"/>
        <v>5082.46534246575</v>
      </c>
      <c r="L4" s="32">
        <v>5000</v>
      </c>
      <c r="M4" s="32">
        <f t="shared" si="3"/>
        <v>111731.772191781</v>
      </c>
      <c r="N4" s="33" t="s">
        <v>194</v>
      </c>
      <c r="O4" s="33" t="s">
        <v>28</v>
      </c>
      <c r="Q4" s="34"/>
    </row>
    <row r="5" ht="16.5" spans="1:17">
      <c r="A5" s="27" t="s">
        <v>38</v>
      </c>
      <c r="B5" s="27" t="s">
        <v>29</v>
      </c>
      <c r="C5" s="27" t="s">
        <v>197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251001.468493151</v>
      </c>
      <c r="K5" s="32">
        <f t="shared" si="2"/>
        <v>12550.0734246575</v>
      </c>
      <c r="L5" s="32">
        <v>25000</v>
      </c>
      <c r="M5" s="32">
        <f t="shared" si="3"/>
        <v>288551.541917808</v>
      </c>
      <c r="N5" s="33" t="s">
        <v>194</v>
      </c>
      <c r="O5" s="33" t="s">
        <v>28</v>
      </c>
      <c r="Q5" s="34"/>
    </row>
    <row r="6" ht="16.5" spans="1:17">
      <c r="A6" s="27" t="s">
        <v>38</v>
      </c>
      <c r="B6" s="27" t="s">
        <v>29</v>
      </c>
      <c r="C6" s="27" t="s">
        <v>198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</v>
      </c>
      <c r="K6" s="32">
        <f t="shared" si="2"/>
        <v>2966.10753424658</v>
      </c>
      <c r="L6" s="32">
        <v>5000</v>
      </c>
      <c r="M6" s="32">
        <f t="shared" si="3"/>
        <v>67288.2582191781</v>
      </c>
      <c r="N6" s="33" t="s">
        <v>194</v>
      </c>
      <c r="O6" s="33" t="s">
        <v>28</v>
      </c>
      <c r="Q6" s="34"/>
    </row>
    <row r="7" ht="16.5" spans="1:17">
      <c r="A7" s="27" t="s">
        <v>38</v>
      </c>
      <c r="B7" s="27" t="s">
        <v>29</v>
      </c>
      <c r="C7" s="27" t="s">
        <v>199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</v>
      </c>
      <c r="K7" s="32">
        <f t="shared" si="2"/>
        <v>2966.10753424658</v>
      </c>
      <c r="L7" s="32">
        <v>5000</v>
      </c>
      <c r="M7" s="32">
        <f t="shared" si="3"/>
        <v>67288.2582191781</v>
      </c>
      <c r="N7" s="33" t="s">
        <v>194</v>
      </c>
      <c r="O7" s="33" t="s">
        <v>28</v>
      </c>
      <c r="Q7" s="34"/>
    </row>
    <row r="8" ht="16.5" spans="1:17">
      <c r="A8" s="27" t="s">
        <v>38</v>
      </c>
      <c r="B8" s="27" t="s">
        <v>29</v>
      </c>
      <c r="C8" s="27" t="s">
        <v>200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</v>
      </c>
      <c r="K8" s="32">
        <f t="shared" si="2"/>
        <v>2966.10753424658</v>
      </c>
      <c r="L8" s="32">
        <v>5000</v>
      </c>
      <c r="M8" s="32">
        <f t="shared" si="3"/>
        <v>67288.2582191781</v>
      </c>
      <c r="N8" s="33" t="s">
        <v>194</v>
      </c>
      <c r="O8" s="33" t="s">
        <v>28</v>
      </c>
      <c r="Q8" s="34"/>
    </row>
    <row r="9" ht="16.5" spans="1:17">
      <c r="A9" s="27" t="s">
        <v>38</v>
      </c>
      <c r="B9" s="27" t="s">
        <v>29</v>
      </c>
      <c r="C9" s="27" t="s">
        <v>201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108362.863013699</v>
      </c>
      <c r="K9" s="32">
        <f t="shared" si="2"/>
        <v>5418.14315068493</v>
      </c>
      <c r="L9" s="32">
        <v>10000</v>
      </c>
      <c r="M9" s="32">
        <f t="shared" si="3"/>
        <v>123781.006164384</v>
      </c>
      <c r="N9" s="33" t="s">
        <v>194</v>
      </c>
      <c r="O9" s="33" t="s">
        <v>28</v>
      </c>
      <c r="Q9" s="34"/>
    </row>
    <row r="10" ht="16.5" spans="1:17">
      <c r="A10" s="27" t="s">
        <v>38</v>
      </c>
      <c r="B10" s="27" t="s">
        <v>29</v>
      </c>
      <c r="C10" s="27" t="s">
        <v>202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</v>
      </c>
      <c r="K10" s="32">
        <f t="shared" si="2"/>
        <v>3014.20657534247</v>
      </c>
      <c r="L10" s="32">
        <v>5000</v>
      </c>
      <c r="M10" s="32">
        <f t="shared" si="3"/>
        <v>68298.3380821918</v>
      </c>
      <c r="N10" s="33" t="s">
        <v>194</v>
      </c>
      <c r="O10" s="33" t="s">
        <v>28</v>
      </c>
      <c r="Q10" s="34"/>
    </row>
    <row r="11" ht="16.5" spans="1:17">
      <c r="A11" s="27" t="s">
        <v>38</v>
      </c>
      <c r="B11" s="27" t="s">
        <v>29</v>
      </c>
      <c r="C11" s="27" t="s">
        <v>203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89464.2164383562</v>
      </c>
      <c r="K11" s="32">
        <f t="shared" si="2"/>
        <v>4473.21082191781</v>
      </c>
      <c r="L11" s="32">
        <v>5000</v>
      </c>
      <c r="M11" s="32">
        <f t="shared" si="3"/>
        <v>98937.427260274</v>
      </c>
      <c r="N11" s="33" t="s">
        <v>194</v>
      </c>
      <c r="O11" s="33" t="s">
        <v>28</v>
      </c>
      <c r="Q11" s="34"/>
    </row>
    <row r="12" ht="16.5" spans="1:17">
      <c r="A12" s="27" t="s">
        <v>38</v>
      </c>
      <c r="B12" s="27" t="s">
        <v>29</v>
      </c>
      <c r="C12" s="27" t="s">
        <v>204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</v>
      </c>
      <c r="K12" s="32">
        <f t="shared" si="2"/>
        <v>1972.06068493151</v>
      </c>
      <c r="L12" s="32">
        <v>5000</v>
      </c>
      <c r="M12" s="32">
        <f t="shared" si="3"/>
        <v>46413.2743835616</v>
      </c>
      <c r="N12" s="33" t="s">
        <v>194</v>
      </c>
      <c r="O12" s="33" t="s">
        <v>28</v>
      </c>
      <c r="Q12" s="34"/>
    </row>
    <row r="13" ht="16.5" spans="1:17">
      <c r="A13" s="27" t="s">
        <v>38</v>
      </c>
      <c r="B13" s="27" t="s">
        <v>29</v>
      </c>
      <c r="C13" s="27" t="s">
        <v>205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</v>
      </c>
      <c r="K13" s="32">
        <f t="shared" si="2"/>
        <v>1972.06068493151</v>
      </c>
      <c r="L13" s="32">
        <v>5000</v>
      </c>
      <c r="M13" s="32">
        <f t="shared" si="3"/>
        <v>46413.2743835616</v>
      </c>
      <c r="N13" s="33" t="s">
        <v>194</v>
      </c>
      <c r="O13" s="33" t="s">
        <v>28</v>
      </c>
      <c r="Q13" s="34"/>
    </row>
    <row r="14" ht="16.5" spans="1:17">
      <c r="A14" s="27" t="s">
        <v>38</v>
      </c>
      <c r="B14" s="27" t="s">
        <v>29</v>
      </c>
      <c r="C14" s="27" t="s">
        <v>206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</v>
      </c>
      <c r="K14" s="32">
        <f t="shared" si="2"/>
        <v>1972.06068493151</v>
      </c>
      <c r="L14" s="32">
        <v>5000</v>
      </c>
      <c r="M14" s="32">
        <f t="shared" si="3"/>
        <v>46413.2743835616</v>
      </c>
      <c r="N14" s="33" t="s">
        <v>194</v>
      </c>
      <c r="O14" s="33" t="s">
        <v>28</v>
      </c>
      <c r="Q14" s="34"/>
    </row>
    <row r="15" ht="16.5" spans="1:17">
      <c r="A15" s="27" t="s">
        <v>207</v>
      </c>
      <c r="B15" s="27" t="s">
        <v>35</v>
      </c>
      <c r="C15" s="27" t="s">
        <v>208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</v>
      </c>
      <c r="K15" s="32">
        <f t="shared" si="2"/>
        <v>16113.6920547945</v>
      </c>
      <c r="L15" s="32">
        <v>10000</v>
      </c>
      <c r="M15" s="32">
        <f t="shared" si="3"/>
        <v>348387.533150685</v>
      </c>
      <c r="N15" s="33" t="s">
        <v>194</v>
      </c>
      <c r="O15" s="33" t="s">
        <v>28</v>
      </c>
      <c r="Q15" s="34"/>
    </row>
    <row r="16" ht="16.5" spans="1:15">
      <c r="A16" s="27" t="s">
        <v>209</v>
      </c>
      <c r="B16" s="27" t="s">
        <v>35</v>
      </c>
      <c r="C16" s="27" t="s">
        <v>210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</v>
      </c>
      <c r="K16" s="32">
        <f t="shared" si="2"/>
        <v>64336.5809589041</v>
      </c>
      <c r="L16" s="32">
        <v>60000</v>
      </c>
      <c r="M16" s="32">
        <f t="shared" si="3"/>
        <v>1411068.20013699</v>
      </c>
      <c r="N16" s="33" t="s">
        <v>194</v>
      </c>
      <c r="O16" s="33" t="s">
        <v>28</v>
      </c>
    </row>
    <row r="17" ht="16.5" spans="1:15">
      <c r="A17" s="27" t="s">
        <v>209</v>
      </c>
      <c r="B17" s="27" t="s">
        <v>35</v>
      </c>
      <c r="C17" s="27" t="s">
        <v>211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</v>
      </c>
      <c r="K17" s="32">
        <f t="shared" si="2"/>
        <v>64336.5809589041</v>
      </c>
      <c r="L17" s="32">
        <v>60000</v>
      </c>
      <c r="M17" s="32">
        <f t="shared" si="3"/>
        <v>1411068.20013699</v>
      </c>
      <c r="N17" s="33" t="s">
        <v>194</v>
      </c>
      <c r="O17" s="33" t="s">
        <v>28</v>
      </c>
    </row>
    <row r="18" ht="16.5" spans="1:15">
      <c r="A18" s="27" t="s">
        <v>212</v>
      </c>
      <c r="B18" s="27" t="s">
        <v>29</v>
      </c>
      <c r="C18" s="27" t="s">
        <v>213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</v>
      </c>
      <c r="J18" s="32">
        <f>I18</f>
        <v>56204362.602</v>
      </c>
      <c r="K18" s="32">
        <f t="shared" si="2"/>
        <v>2810218.1301</v>
      </c>
      <c r="L18" s="32">
        <v>0</v>
      </c>
      <c r="M18" s="32">
        <f t="shared" si="3"/>
        <v>59014580.7321</v>
      </c>
      <c r="N18" s="33" t="s">
        <v>194</v>
      </c>
      <c r="O18" s="33" t="s">
        <v>28</v>
      </c>
    </row>
    <row r="19" ht="16.5" spans="1:15">
      <c r="A19" s="27" t="s">
        <v>214</v>
      </c>
      <c r="B19" s="27" t="s">
        <v>29</v>
      </c>
      <c r="C19" s="27" t="s">
        <v>215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</v>
      </c>
      <c r="K19" s="32">
        <f t="shared" si="2"/>
        <v>800827.479452055</v>
      </c>
      <c r="L19" s="32">
        <v>171000</v>
      </c>
      <c r="M19" s="32">
        <f t="shared" si="3"/>
        <v>16988377.0684931</v>
      </c>
      <c r="N19" s="33" t="s">
        <v>194</v>
      </c>
      <c r="O19" s="33" t="s">
        <v>28</v>
      </c>
    </row>
    <row r="20" ht="16.5" spans="1:15">
      <c r="A20" s="27" t="s">
        <v>216</v>
      </c>
      <c r="B20" s="27" t="s">
        <v>29</v>
      </c>
      <c r="C20" s="27" t="s">
        <v>217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</v>
      </c>
      <c r="K20" s="32">
        <f t="shared" si="2"/>
        <v>15104.3802739726</v>
      </c>
      <c r="L20" s="32">
        <v>10000</v>
      </c>
      <c r="M20" s="32">
        <f t="shared" si="3"/>
        <v>327191.985753425</v>
      </c>
      <c r="N20" s="33" t="s">
        <v>194</v>
      </c>
      <c r="O20" s="33" t="s">
        <v>28</v>
      </c>
    </row>
    <row r="21" ht="15.75" customHeight="1" spans="1:15">
      <c r="A21" s="27" t="s">
        <v>216</v>
      </c>
      <c r="B21" s="27" t="s">
        <v>29</v>
      </c>
      <c r="C21" s="27" t="s">
        <v>218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</v>
      </c>
      <c r="L21" s="32">
        <v>40000</v>
      </c>
      <c r="M21" s="32">
        <f t="shared" si="3"/>
        <v>813665.2</v>
      </c>
      <c r="N21" s="33" t="s">
        <v>194</v>
      </c>
      <c r="O21" s="33" t="s">
        <v>28</v>
      </c>
    </row>
    <row r="22" ht="15.75" customHeight="1" spans="1:15">
      <c r="A22" s="27" t="s">
        <v>38</v>
      </c>
      <c r="B22" s="27" t="s">
        <v>29</v>
      </c>
      <c r="C22" s="27" t="s">
        <v>204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</v>
      </c>
      <c r="K22" s="32">
        <f t="shared" si="2"/>
        <v>1972.06068493151</v>
      </c>
      <c r="L22" s="32">
        <v>5000</v>
      </c>
      <c r="M22" s="32">
        <f t="shared" si="3"/>
        <v>46413.2743835616</v>
      </c>
      <c r="N22" s="33" t="s">
        <v>194</v>
      </c>
      <c r="O22" s="33" t="s">
        <v>28</v>
      </c>
    </row>
    <row r="23" ht="15.75" customHeight="1" spans="1:15">
      <c r="A23" s="27" t="s">
        <v>38</v>
      </c>
      <c r="B23" s="27" t="s">
        <v>29</v>
      </c>
      <c r="C23" s="27" t="s">
        <v>205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</v>
      </c>
      <c r="K23" s="32">
        <f t="shared" si="2"/>
        <v>1972.06068493151</v>
      </c>
      <c r="L23" s="32">
        <v>5000</v>
      </c>
      <c r="M23" s="32">
        <f t="shared" si="3"/>
        <v>46413.2743835616</v>
      </c>
      <c r="N23" s="33" t="s">
        <v>194</v>
      </c>
      <c r="O23" s="33" t="s">
        <v>28</v>
      </c>
    </row>
    <row r="24" ht="15.75" customHeight="1" spans="1:15">
      <c r="A24" s="27" t="s">
        <v>38</v>
      </c>
      <c r="B24" s="27" t="s">
        <v>29</v>
      </c>
      <c r="C24" s="27" t="s">
        <v>206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</v>
      </c>
      <c r="K24" s="32">
        <f t="shared" si="2"/>
        <v>1972.06068493151</v>
      </c>
      <c r="L24" s="32">
        <v>5000</v>
      </c>
      <c r="M24" s="32">
        <f t="shared" si="3"/>
        <v>46413.2743835616</v>
      </c>
      <c r="N24" s="33" t="s">
        <v>194</v>
      </c>
      <c r="O24" s="33" t="s">
        <v>28</v>
      </c>
    </row>
    <row r="25" ht="15.75" customHeight="1" spans="1:15">
      <c r="A25" s="27" t="s">
        <v>56</v>
      </c>
      <c r="B25" s="27" t="s">
        <v>29</v>
      </c>
      <c r="C25" s="27" t="s">
        <v>219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284568.493150685</v>
      </c>
      <c r="K25" s="32">
        <f t="shared" si="2"/>
        <v>14228.4246575342</v>
      </c>
      <c r="L25" s="32">
        <v>3000</v>
      </c>
      <c r="M25" s="32">
        <f t="shared" si="3"/>
        <v>301796.917808219</v>
      </c>
      <c r="N25" s="33" t="s">
        <v>194</v>
      </c>
      <c r="O25" s="33" t="s">
        <v>28</v>
      </c>
    </row>
    <row r="26" ht="15.75" customHeight="1" spans="1:15">
      <c r="A26" s="27" t="s">
        <v>56</v>
      </c>
      <c r="B26" s="27" t="s">
        <v>29</v>
      </c>
      <c r="C26" s="27" t="s">
        <v>220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284568.493150685</v>
      </c>
      <c r="K26" s="32">
        <f t="shared" si="2"/>
        <v>14228.4246575342</v>
      </c>
      <c r="L26" s="32">
        <v>3000</v>
      </c>
      <c r="M26" s="32">
        <f t="shared" si="3"/>
        <v>301796.917808219</v>
      </c>
      <c r="N26" s="33" t="s">
        <v>194</v>
      </c>
      <c r="O26" s="33" t="s">
        <v>28</v>
      </c>
    </row>
    <row r="27" ht="15.75" customHeight="1" spans="1:15">
      <c r="A27" s="27" t="s">
        <v>56</v>
      </c>
      <c r="B27" s="27" t="s">
        <v>29</v>
      </c>
      <c r="C27" s="27" t="s">
        <v>221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284568.493150685</v>
      </c>
      <c r="K27" s="32">
        <f t="shared" si="2"/>
        <v>14228.4246575342</v>
      </c>
      <c r="L27" s="32">
        <v>3000</v>
      </c>
      <c r="M27" s="32">
        <f t="shared" si="3"/>
        <v>301796.917808219</v>
      </c>
      <c r="N27" s="33" t="s">
        <v>194</v>
      </c>
      <c r="O27" s="33" t="s">
        <v>28</v>
      </c>
    </row>
    <row r="28" ht="15.75" customHeight="1" spans="1:15">
      <c r="A28" s="27" t="s">
        <v>56</v>
      </c>
      <c r="B28" s="27" t="s">
        <v>29</v>
      </c>
      <c r="C28" s="27" t="s">
        <v>222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284568.493150685</v>
      </c>
      <c r="K28" s="32">
        <f t="shared" si="2"/>
        <v>14228.4246575342</v>
      </c>
      <c r="L28" s="32">
        <v>9000</v>
      </c>
      <c r="M28" s="32">
        <f t="shared" si="3"/>
        <v>307796.917808219</v>
      </c>
      <c r="N28" s="33" t="s">
        <v>194</v>
      </c>
      <c r="O28" s="33" t="s">
        <v>28</v>
      </c>
    </row>
    <row r="29" ht="15.75" customHeight="1" spans="1:15">
      <c r="A29" s="27" t="s">
        <v>56</v>
      </c>
      <c r="B29" s="27" t="s">
        <v>29</v>
      </c>
      <c r="C29" s="27" t="s">
        <v>223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</v>
      </c>
      <c r="K29" s="32">
        <f t="shared" si="2"/>
        <v>13866.2465753425</v>
      </c>
      <c r="L29" s="32">
        <v>3000</v>
      </c>
      <c r="M29" s="32">
        <f t="shared" si="3"/>
        <v>294191.178082192</v>
      </c>
      <c r="N29" s="33" t="s">
        <v>194</v>
      </c>
      <c r="O29" s="33" t="s">
        <v>28</v>
      </c>
    </row>
    <row r="30" ht="15.75" customHeight="1" spans="1:15">
      <c r="A30" s="27" t="s">
        <v>56</v>
      </c>
      <c r="B30" s="27" t="s">
        <v>29</v>
      </c>
      <c r="C30" s="27" t="s">
        <v>224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</v>
      </c>
      <c r="K30" s="32">
        <f t="shared" si="2"/>
        <v>13866.2465753425</v>
      </c>
      <c r="L30" s="32">
        <v>3000</v>
      </c>
      <c r="M30" s="32">
        <f t="shared" si="3"/>
        <v>294191.178082192</v>
      </c>
      <c r="N30" s="33" t="s">
        <v>194</v>
      </c>
      <c r="O30" s="33" t="s">
        <v>28</v>
      </c>
    </row>
    <row r="31" ht="15.75" customHeight="1" spans="1:15">
      <c r="A31" s="27" t="s">
        <v>56</v>
      </c>
      <c r="B31" s="27" t="s">
        <v>29</v>
      </c>
      <c r="C31" s="27" t="s">
        <v>225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</v>
      </c>
      <c r="K31" s="32">
        <f t="shared" si="2"/>
        <v>13866.2465753425</v>
      </c>
      <c r="L31" s="32">
        <v>3000</v>
      </c>
      <c r="M31" s="32">
        <f t="shared" si="3"/>
        <v>294191.178082192</v>
      </c>
      <c r="N31" s="33" t="s">
        <v>194</v>
      </c>
      <c r="O31" s="33" t="s">
        <v>28</v>
      </c>
    </row>
    <row r="32" ht="15.75" customHeight="1" spans="1:15">
      <c r="A32" s="27" t="s">
        <v>56</v>
      </c>
      <c r="B32" s="27" t="s">
        <v>29</v>
      </c>
      <c r="C32" s="27" t="s">
        <v>226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</v>
      </c>
      <c r="K32" s="32">
        <f t="shared" si="2"/>
        <v>13866.2465753425</v>
      </c>
      <c r="L32" s="32">
        <v>3000</v>
      </c>
      <c r="M32" s="32">
        <f t="shared" si="3"/>
        <v>294191.178082192</v>
      </c>
      <c r="N32" s="33" t="s">
        <v>194</v>
      </c>
      <c r="O32" s="33" t="s">
        <v>28</v>
      </c>
    </row>
    <row r="33" ht="15.75" customHeight="1" spans="1:15">
      <c r="A33" s="27" t="s">
        <v>56</v>
      </c>
      <c r="B33" s="27" t="s">
        <v>29</v>
      </c>
      <c r="C33" s="27" t="s">
        <v>227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</v>
      </c>
      <c r="K33" s="32">
        <f t="shared" si="2"/>
        <v>13866.2465753425</v>
      </c>
      <c r="L33" s="32">
        <v>3000</v>
      </c>
      <c r="M33" s="32">
        <f t="shared" si="3"/>
        <v>294191.178082192</v>
      </c>
      <c r="N33" s="33" t="s">
        <v>194</v>
      </c>
      <c r="O33" s="33" t="s">
        <v>28</v>
      </c>
    </row>
    <row r="34" ht="15.75" customHeight="1" spans="1:15">
      <c r="A34" s="27" t="s">
        <v>56</v>
      </c>
      <c r="B34" s="27" t="s">
        <v>29</v>
      </c>
      <c r="C34" s="27" t="s">
        <v>228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</v>
      </c>
      <c r="K34" s="32">
        <f t="shared" si="2"/>
        <v>13866.2465753425</v>
      </c>
      <c r="L34" s="32">
        <v>3000</v>
      </c>
      <c r="M34" s="32">
        <f t="shared" si="3"/>
        <v>294191.178082192</v>
      </c>
      <c r="N34" s="33" t="s">
        <v>194</v>
      </c>
      <c r="O34" s="33" t="s">
        <v>28</v>
      </c>
    </row>
    <row r="35" ht="15.75" customHeight="1" spans="1:15">
      <c r="A35" s="27" t="s">
        <v>56</v>
      </c>
      <c r="B35" s="27" t="s">
        <v>29</v>
      </c>
      <c r="C35" s="27" t="s">
        <v>229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</v>
      </c>
      <c r="K35" s="32">
        <f t="shared" si="2"/>
        <v>13866.2465753425</v>
      </c>
      <c r="L35" s="32">
        <v>3000</v>
      </c>
      <c r="M35" s="32">
        <f t="shared" si="3"/>
        <v>294191.178082192</v>
      </c>
      <c r="N35" s="33" t="s">
        <v>194</v>
      </c>
      <c r="O35" s="33" t="s">
        <v>28</v>
      </c>
    </row>
    <row r="36" ht="15.75" customHeight="1" spans="1:15">
      <c r="A36" s="27" t="s">
        <v>56</v>
      </c>
      <c r="B36" s="27" t="s">
        <v>29</v>
      </c>
      <c r="C36" s="27" t="s">
        <v>230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</v>
      </c>
      <c r="K36" s="32">
        <f t="shared" si="2"/>
        <v>13866.2465753425</v>
      </c>
      <c r="L36" s="32">
        <v>3000</v>
      </c>
      <c r="M36" s="32">
        <f t="shared" si="3"/>
        <v>294191.178082192</v>
      </c>
      <c r="N36" s="33" t="s">
        <v>194</v>
      </c>
      <c r="O36" s="33" t="s">
        <v>28</v>
      </c>
    </row>
    <row r="37" ht="15.75" customHeight="1" spans="1:15">
      <c r="A37" s="27" t="s">
        <v>56</v>
      </c>
      <c r="B37" s="27" t="s">
        <v>29</v>
      </c>
      <c r="C37" s="27" t="s">
        <v>231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</v>
      </c>
      <c r="K37" s="32">
        <f t="shared" si="2"/>
        <v>13866.2465753425</v>
      </c>
      <c r="L37" s="32">
        <v>3000</v>
      </c>
      <c r="M37" s="32">
        <f t="shared" si="3"/>
        <v>294191.178082192</v>
      </c>
      <c r="N37" s="33" t="s">
        <v>194</v>
      </c>
      <c r="O37" s="33" t="s">
        <v>28</v>
      </c>
    </row>
    <row r="38" ht="15.75" customHeight="1" spans="1:15">
      <c r="A38" s="27" t="s">
        <v>56</v>
      </c>
      <c r="B38" s="27" t="s">
        <v>29</v>
      </c>
      <c r="C38" s="27" t="s">
        <v>232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</v>
      </c>
      <c r="K38" s="32">
        <f t="shared" si="2"/>
        <v>13866.2465753425</v>
      </c>
      <c r="L38" s="32">
        <v>3000</v>
      </c>
      <c r="M38" s="32">
        <f t="shared" si="3"/>
        <v>294191.178082192</v>
      </c>
      <c r="N38" s="33" t="s">
        <v>194</v>
      </c>
      <c r="O38" s="33" t="s">
        <v>28</v>
      </c>
    </row>
    <row r="39" ht="15.75" customHeight="1" spans="1:15">
      <c r="A39" s="27" t="s">
        <v>56</v>
      </c>
      <c r="B39" s="27" t="s">
        <v>29</v>
      </c>
      <c r="C39" s="27" t="s">
        <v>233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</v>
      </c>
      <c r="K39" s="32">
        <f t="shared" si="2"/>
        <v>13866.2465753425</v>
      </c>
      <c r="L39" s="32">
        <v>3000</v>
      </c>
      <c r="M39" s="32">
        <f t="shared" si="3"/>
        <v>294191.178082192</v>
      </c>
      <c r="N39" s="33" t="s">
        <v>194</v>
      </c>
      <c r="O39" s="33" t="s">
        <v>28</v>
      </c>
    </row>
    <row r="40" ht="15.75" customHeight="1" spans="1:15">
      <c r="A40" s="27" t="s">
        <v>56</v>
      </c>
      <c r="B40" s="27" t="s">
        <v>29</v>
      </c>
      <c r="C40" s="27" t="s">
        <v>234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</v>
      </c>
      <c r="K40" s="32">
        <f t="shared" si="2"/>
        <v>13866.2465753425</v>
      </c>
      <c r="L40" s="32">
        <v>3000</v>
      </c>
      <c r="M40" s="32">
        <f t="shared" si="3"/>
        <v>294191.178082192</v>
      </c>
      <c r="N40" s="33" t="s">
        <v>194</v>
      </c>
      <c r="O40" s="33" t="s">
        <v>28</v>
      </c>
    </row>
    <row r="41" ht="15.75" customHeight="1" spans="1:15">
      <c r="A41" s="27" t="s">
        <v>56</v>
      </c>
      <c r="B41" s="27" t="s">
        <v>29</v>
      </c>
      <c r="C41" s="27" t="s">
        <v>235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</v>
      </c>
      <c r="K41" s="32">
        <f t="shared" si="2"/>
        <v>13866.2465753425</v>
      </c>
      <c r="L41" s="32">
        <v>3000</v>
      </c>
      <c r="M41" s="32">
        <f t="shared" si="3"/>
        <v>294191.178082192</v>
      </c>
      <c r="N41" s="33" t="s">
        <v>194</v>
      </c>
      <c r="O41" s="33" t="s">
        <v>28</v>
      </c>
    </row>
    <row r="42" ht="15.75" customHeight="1" spans="1:15">
      <c r="A42" s="27" t="s">
        <v>56</v>
      </c>
      <c r="B42" s="27" t="s">
        <v>29</v>
      </c>
      <c r="C42" s="27" t="s">
        <v>236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</v>
      </c>
      <c r="K42" s="32">
        <f t="shared" si="2"/>
        <v>13866.2465753425</v>
      </c>
      <c r="L42" s="32">
        <v>3000</v>
      </c>
      <c r="M42" s="32">
        <f t="shared" si="3"/>
        <v>294191.178082192</v>
      </c>
      <c r="N42" s="33" t="s">
        <v>194</v>
      </c>
      <c r="O42" s="33" t="s">
        <v>28</v>
      </c>
    </row>
    <row r="43" ht="15.75" customHeight="1" spans="1:15">
      <c r="A43" s="27" t="s">
        <v>56</v>
      </c>
      <c r="B43" s="27" t="s">
        <v>29</v>
      </c>
      <c r="C43" s="27" t="s">
        <v>237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</v>
      </c>
      <c r="K43" s="32">
        <f t="shared" si="2"/>
        <v>13866.2465753425</v>
      </c>
      <c r="L43" s="32">
        <v>3000</v>
      </c>
      <c r="M43" s="32">
        <f t="shared" si="3"/>
        <v>294191.178082192</v>
      </c>
      <c r="N43" s="33" t="s">
        <v>194</v>
      </c>
      <c r="O43" s="33" t="s">
        <v>28</v>
      </c>
    </row>
    <row r="44" ht="15.75" customHeight="1" spans="1:15">
      <c r="A44" s="27" t="s">
        <v>56</v>
      </c>
      <c r="B44" s="27" t="s">
        <v>29</v>
      </c>
      <c r="C44" s="27" t="s">
        <v>238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272150.95890411</v>
      </c>
      <c r="K44" s="32">
        <f t="shared" si="2"/>
        <v>13607.5479452055</v>
      </c>
      <c r="L44" s="32">
        <v>3000</v>
      </c>
      <c r="M44" s="32">
        <f t="shared" si="3"/>
        <v>288758.506849315</v>
      </c>
      <c r="N44" s="33" t="s">
        <v>194</v>
      </c>
      <c r="O44" s="33" t="s">
        <v>28</v>
      </c>
    </row>
    <row r="45" ht="15.75" customHeight="1" spans="1:15">
      <c r="A45" s="27" t="s">
        <v>56</v>
      </c>
      <c r="B45" s="27" t="s">
        <v>29</v>
      </c>
      <c r="C45" s="27" t="s">
        <v>239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272150.95890411</v>
      </c>
      <c r="K45" s="32">
        <f t="shared" si="2"/>
        <v>13607.5479452055</v>
      </c>
      <c r="L45" s="32">
        <v>3000</v>
      </c>
      <c r="M45" s="32">
        <f t="shared" si="3"/>
        <v>288758.506849315</v>
      </c>
      <c r="N45" s="33" t="s">
        <v>194</v>
      </c>
      <c r="O45" s="33" t="s">
        <v>28</v>
      </c>
    </row>
    <row r="46" ht="15.75" customHeight="1" spans="1:15">
      <c r="A46" s="27" t="s">
        <v>56</v>
      </c>
      <c r="B46" s="27" t="s">
        <v>29</v>
      </c>
      <c r="C46" s="27" t="s">
        <v>240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271116.164383562</v>
      </c>
      <c r="K46" s="32">
        <f t="shared" si="2"/>
        <v>13555.8082191781</v>
      </c>
      <c r="L46" s="32">
        <v>3000</v>
      </c>
      <c r="M46" s="32">
        <f t="shared" si="3"/>
        <v>287671.97260274</v>
      </c>
      <c r="N46" s="33" t="s">
        <v>194</v>
      </c>
      <c r="O46" s="33" t="s">
        <v>28</v>
      </c>
    </row>
    <row r="47" ht="15.75" customHeight="1" spans="1:15">
      <c r="A47" s="27" t="s">
        <v>56</v>
      </c>
      <c r="B47" s="27" t="s">
        <v>29</v>
      </c>
      <c r="C47" s="27" t="s">
        <v>241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264907.397260274</v>
      </c>
      <c r="K47" s="32">
        <f t="shared" si="2"/>
        <v>13245.3698630137</v>
      </c>
      <c r="L47" s="32">
        <v>3000</v>
      </c>
      <c r="M47" s="32">
        <f t="shared" si="3"/>
        <v>281152.767123288</v>
      </c>
      <c r="N47" s="33" t="s">
        <v>194</v>
      </c>
      <c r="O47" s="33" t="s">
        <v>28</v>
      </c>
    </row>
    <row r="48" ht="15.75" customHeight="1" spans="1:15">
      <c r="A48" s="27" t="s">
        <v>56</v>
      </c>
      <c r="B48" s="27" t="s">
        <v>29</v>
      </c>
      <c r="C48" s="27" t="s">
        <v>242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264907.397260274</v>
      </c>
      <c r="K48" s="32">
        <f t="shared" si="2"/>
        <v>13245.3698630137</v>
      </c>
      <c r="L48" s="32">
        <v>3000</v>
      </c>
      <c r="M48" s="32">
        <f t="shared" si="3"/>
        <v>281152.767123288</v>
      </c>
      <c r="N48" s="33" t="s">
        <v>194</v>
      </c>
      <c r="O48" s="33" t="s">
        <v>28</v>
      </c>
    </row>
    <row r="49" ht="15.75" customHeight="1" spans="1:15">
      <c r="A49" s="27" t="s">
        <v>56</v>
      </c>
      <c r="B49" s="27" t="s">
        <v>29</v>
      </c>
      <c r="C49" s="27" t="s">
        <v>243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264907.397260274</v>
      </c>
      <c r="K49" s="32">
        <f t="shared" si="2"/>
        <v>13245.3698630137</v>
      </c>
      <c r="L49" s="32">
        <v>6000</v>
      </c>
      <c r="M49" s="32">
        <f t="shared" si="3"/>
        <v>284152.767123288</v>
      </c>
      <c r="N49" s="33" t="s">
        <v>194</v>
      </c>
      <c r="O49" s="33" t="s">
        <v>28</v>
      </c>
    </row>
    <row r="50" ht="15.75" customHeight="1" spans="1:15">
      <c r="A50" s="27" t="s">
        <v>56</v>
      </c>
      <c r="B50" s="27" t="s">
        <v>29</v>
      </c>
      <c r="C50" s="27" t="s">
        <v>244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264907.397260274</v>
      </c>
      <c r="K50" s="32">
        <f t="shared" si="2"/>
        <v>13245.3698630137</v>
      </c>
      <c r="L50" s="32">
        <v>3000</v>
      </c>
      <c r="M50" s="32">
        <f t="shared" si="3"/>
        <v>281152.767123288</v>
      </c>
      <c r="N50" s="33" t="s">
        <v>194</v>
      </c>
      <c r="O50" s="33" t="s">
        <v>28</v>
      </c>
    </row>
    <row r="51" ht="15.75" customHeight="1" spans="1:15">
      <c r="A51" s="27" t="s">
        <v>56</v>
      </c>
      <c r="B51" s="27" t="s">
        <v>29</v>
      </c>
      <c r="C51" s="27" t="s">
        <v>245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264907.397260274</v>
      </c>
      <c r="K51" s="32">
        <f t="shared" si="2"/>
        <v>13245.3698630137</v>
      </c>
      <c r="L51" s="32">
        <v>3000</v>
      </c>
      <c r="M51" s="32">
        <f t="shared" si="3"/>
        <v>281152.767123288</v>
      </c>
      <c r="N51" s="33" t="s">
        <v>194</v>
      </c>
      <c r="O51" s="33" t="s">
        <v>28</v>
      </c>
    </row>
    <row r="52" ht="15.75" customHeight="1" spans="1:15">
      <c r="A52" s="27" t="s">
        <v>56</v>
      </c>
      <c r="B52" s="27" t="s">
        <v>29</v>
      </c>
      <c r="C52" s="27" t="s">
        <v>246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</v>
      </c>
      <c r="K52" s="32">
        <f t="shared" si="2"/>
        <v>13193.6301369863</v>
      </c>
      <c r="L52" s="32">
        <v>3000</v>
      </c>
      <c r="M52" s="32">
        <f t="shared" si="3"/>
        <v>280066.232876712</v>
      </c>
      <c r="N52" s="33" t="s">
        <v>194</v>
      </c>
      <c r="O52" s="33" t="s">
        <v>28</v>
      </c>
    </row>
    <row r="53" ht="15.75" customHeight="1" spans="1:15">
      <c r="A53" s="27" t="s">
        <v>56</v>
      </c>
      <c r="B53" s="27" t="s">
        <v>29</v>
      </c>
      <c r="C53" s="27" t="s">
        <v>247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</v>
      </c>
      <c r="K53" s="32">
        <f t="shared" si="2"/>
        <v>13193.6301369863</v>
      </c>
      <c r="L53" s="32">
        <v>3000</v>
      </c>
      <c r="M53" s="32">
        <f t="shared" si="3"/>
        <v>280066.232876712</v>
      </c>
      <c r="N53" s="33" t="s">
        <v>194</v>
      </c>
      <c r="O53" s="33" t="s">
        <v>28</v>
      </c>
    </row>
    <row r="54" ht="15.75" customHeight="1" spans="1:15">
      <c r="A54" s="27" t="s">
        <v>56</v>
      </c>
      <c r="B54" s="27" t="s">
        <v>29</v>
      </c>
      <c r="C54" s="27" t="s">
        <v>248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</v>
      </c>
      <c r="K54" s="32">
        <f t="shared" si="2"/>
        <v>12883.1917808219</v>
      </c>
      <c r="L54" s="32">
        <v>3000</v>
      </c>
      <c r="M54" s="32">
        <f t="shared" si="3"/>
        <v>273547.02739726</v>
      </c>
      <c r="N54" s="33" t="s">
        <v>194</v>
      </c>
      <c r="O54" s="33" t="s">
        <v>28</v>
      </c>
    </row>
    <row r="55" ht="15.75" customHeight="1" spans="1:15">
      <c r="A55" s="27" t="s">
        <v>56</v>
      </c>
      <c r="B55" s="27" t="s">
        <v>29</v>
      </c>
      <c r="C55" s="27" t="s">
        <v>249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</v>
      </c>
      <c r="K55" s="32">
        <f t="shared" si="2"/>
        <v>12883.1917808219</v>
      </c>
      <c r="L55" s="32">
        <v>3000</v>
      </c>
      <c r="M55" s="32">
        <f t="shared" si="3"/>
        <v>273547.02739726</v>
      </c>
      <c r="N55" s="33" t="s">
        <v>194</v>
      </c>
      <c r="O55" s="33" t="s">
        <v>28</v>
      </c>
    </row>
    <row r="56" ht="15.75" customHeight="1" spans="1:15">
      <c r="A56" s="27" t="s">
        <v>56</v>
      </c>
      <c r="B56" s="27" t="s">
        <v>29</v>
      </c>
      <c r="C56" s="27" t="s">
        <v>250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</v>
      </c>
      <c r="K56" s="32">
        <f t="shared" si="2"/>
        <v>12779.7123287671</v>
      </c>
      <c r="L56" s="32">
        <v>3000</v>
      </c>
      <c r="M56" s="32">
        <f t="shared" si="3"/>
        <v>271373.95890411</v>
      </c>
      <c r="N56" s="33" t="s">
        <v>194</v>
      </c>
      <c r="O56" s="33" t="s">
        <v>28</v>
      </c>
    </row>
    <row r="57" ht="15.75" customHeight="1" spans="1:15">
      <c r="A57" s="27" t="s">
        <v>56</v>
      </c>
      <c r="B57" s="27" t="s">
        <v>29</v>
      </c>
      <c r="C57" s="27" t="s">
        <v>251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</v>
      </c>
      <c r="K57" s="32">
        <f t="shared" si="2"/>
        <v>12779.7123287671</v>
      </c>
      <c r="L57" s="32">
        <v>3000</v>
      </c>
      <c r="M57" s="32">
        <f t="shared" si="3"/>
        <v>271373.95890411</v>
      </c>
      <c r="N57" s="33" t="s">
        <v>194</v>
      </c>
      <c r="O57" s="33" t="s">
        <v>28</v>
      </c>
    </row>
    <row r="58" ht="15.75" customHeight="1" spans="1:15">
      <c r="A58" s="27" t="s">
        <v>56</v>
      </c>
      <c r="B58" s="27" t="s">
        <v>29</v>
      </c>
      <c r="C58" s="27" t="s">
        <v>252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</v>
      </c>
      <c r="K58" s="32">
        <f t="shared" si="2"/>
        <v>12779.7123287671</v>
      </c>
      <c r="L58" s="32">
        <v>6000</v>
      </c>
      <c r="M58" s="32">
        <f t="shared" si="3"/>
        <v>274373.95890411</v>
      </c>
      <c r="N58" s="33" t="s">
        <v>194</v>
      </c>
      <c r="O58" s="33" t="s">
        <v>28</v>
      </c>
    </row>
    <row r="59" ht="15.75" customHeight="1" spans="1:15">
      <c r="A59" s="27" t="s">
        <v>56</v>
      </c>
      <c r="B59" s="27" t="s">
        <v>29</v>
      </c>
      <c r="C59" s="27" t="s">
        <v>253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</v>
      </c>
      <c r="K59" s="32">
        <f t="shared" si="2"/>
        <v>12779.7123287671</v>
      </c>
      <c r="L59" s="32">
        <v>3000</v>
      </c>
      <c r="M59" s="32">
        <f t="shared" si="3"/>
        <v>271373.95890411</v>
      </c>
      <c r="N59" s="33" t="s">
        <v>194</v>
      </c>
      <c r="O59" s="33" t="s">
        <v>28</v>
      </c>
    </row>
    <row r="60" ht="15.75" customHeight="1" spans="1:15">
      <c r="A60" s="27" t="s">
        <v>56</v>
      </c>
      <c r="B60" s="27" t="s">
        <v>29</v>
      </c>
      <c r="C60" s="27" t="s">
        <v>254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</v>
      </c>
      <c r="K60" s="32">
        <f t="shared" si="2"/>
        <v>12779.7123287671</v>
      </c>
      <c r="L60" s="32">
        <v>3000</v>
      </c>
      <c r="M60" s="32">
        <f t="shared" si="3"/>
        <v>271373.95890411</v>
      </c>
      <c r="N60" s="33" t="s">
        <v>194</v>
      </c>
      <c r="O60" s="33" t="s">
        <v>28</v>
      </c>
    </row>
    <row r="61" ht="15.75" customHeight="1" spans="1:15">
      <c r="A61" s="27" t="s">
        <v>56</v>
      </c>
      <c r="B61" s="27" t="s">
        <v>29</v>
      </c>
      <c r="C61" s="27" t="s">
        <v>255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</v>
      </c>
      <c r="K61" s="32">
        <f t="shared" si="2"/>
        <v>12779.7123287671</v>
      </c>
      <c r="L61" s="32">
        <v>3000</v>
      </c>
      <c r="M61" s="32">
        <f t="shared" si="3"/>
        <v>271373.95890411</v>
      </c>
      <c r="N61" s="33" t="s">
        <v>194</v>
      </c>
      <c r="O61" s="33" t="s">
        <v>28</v>
      </c>
    </row>
    <row r="62" ht="15.75" customHeight="1" spans="1:15">
      <c r="A62" s="27" t="s">
        <v>56</v>
      </c>
      <c r="B62" s="27" t="s">
        <v>29</v>
      </c>
      <c r="C62" s="27" t="s">
        <v>256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</v>
      </c>
      <c r="K62" s="32">
        <f t="shared" si="2"/>
        <v>12779.7123287671</v>
      </c>
      <c r="L62" s="32">
        <v>3000</v>
      </c>
      <c r="M62" s="32">
        <f t="shared" si="3"/>
        <v>271373.95890411</v>
      </c>
      <c r="N62" s="33" t="s">
        <v>194</v>
      </c>
      <c r="O62" s="33" t="s">
        <v>28</v>
      </c>
    </row>
    <row r="63" ht="15.75" customHeight="1" spans="1:15">
      <c r="A63" s="27" t="s">
        <v>56</v>
      </c>
      <c r="B63" s="27" t="s">
        <v>29</v>
      </c>
      <c r="C63" s="27" t="s">
        <v>257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250420.273972603</v>
      </c>
      <c r="K63" s="32">
        <f t="shared" si="2"/>
        <v>12521.0136986301</v>
      </c>
      <c r="L63" s="32">
        <v>3000</v>
      </c>
      <c r="M63" s="32">
        <f t="shared" si="3"/>
        <v>265941.287671233</v>
      </c>
      <c r="N63" s="33" t="s">
        <v>194</v>
      </c>
      <c r="O63" s="33" t="s">
        <v>28</v>
      </c>
    </row>
    <row r="64" ht="15.75" customHeight="1" spans="1:15">
      <c r="A64" s="27" t="s">
        <v>56</v>
      </c>
      <c r="B64" s="27" t="s">
        <v>29</v>
      </c>
      <c r="C64" s="27" t="s">
        <v>258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250420.273972603</v>
      </c>
      <c r="K64" s="32">
        <f t="shared" si="2"/>
        <v>12521.0136986301</v>
      </c>
      <c r="L64" s="32">
        <v>3000</v>
      </c>
      <c r="M64" s="32">
        <f t="shared" si="3"/>
        <v>265941.287671233</v>
      </c>
      <c r="N64" s="33" t="s">
        <v>194</v>
      </c>
      <c r="O64" s="33" t="s">
        <v>28</v>
      </c>
    </row>
    <row r="65" ht="15.75" customHeight="1" spans="1:15">
      <c r="A65" s="27" t="s">
        <v>56</v>
      </c>
      <c r="B65" s="27" t="s">
        <v>29</v>
      </c>
      <c r="C65" s="27" t="s">
        <v>259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250420.273972603</v>
      </c>
      <c r="K65" s="32">
        <f t="shared" si="2"/>
        <v>12521.0136986301</v>
      </c>
      <c r="L65" s="32">
        <v>3000</v>
      </c>
      <c r="M65" s="32">
        <f t="shared" si="3"/>
        <v>265941.287671233</v>
      </c>
      <c r="N65" s="33" t="s">
        <v>194</v>
      </c>
      <c r="O65" s="33" t="s">
        <v>28</v>
      </c>
    </row>
    <row r="66" ht="15.75" customHeight="1" spans="1:15">
      <c r="A66" s="27" t="s">
        <v>56</v>
      </c>
      <c r="B66" s="27" t="s">
        <v>29</v>
      </c>
      <c r="C66" s="27" t="s">
        <v>260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250420.273972603</v>
      </c>
      <c r="K66" s="32">
        <f t="shared" si="2"/>
        <v>12521.0136986301</v>
      </c>
      <c r="L66" s="32">
        <v>3000</v>
      </c>
      <c r="M66" s="32">
        <f t="shared" si="3"/>
        <v>265941.287671233</v>
      </c>
      <c r="N66" s="33" t="s">
        <v>194</v>
      </c>
      <c r="O66" s="33" t="s">
        <v>28</v>
      </c>
    </row>
    <row r="67" ht="15.75" customHeight="1" spans="1:15">
      <c r="A67" s="27" t="s">
        <v>56</v>
      </c>
      <c r="B67" s="27" t="s">
        <v>29</v>
      </c>
      <c r="C67" s="27" t="s">
        <v>261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250420.273972603</v>
      </c>
      <c r="K67" s="32">
        <f t="shared" si="2"/>
        <v>12521.0136986301</v>
      </c>
      <c r="L67" s="32">
        <v>3000</v>
      </c>
      <c r="M67" s="32">
        <f t="shared" si="3"/>
        <v>265941.287671233</v>
      </c>
      <c r="N67" s="33" t="s">
        <v>194</v>
      </c>
      <c r="O67" s="33" t="s">
        <v>28</v>
      </c>
    </row>
    <row r="68" ht="15.75" customHeight="1" spans="1:15">
      <c r="A68" s="27" t="s">
        <v>56</v>
      </c>
      <c r="B68" s="27" t="s">
        <v>29</v>
      </c>
      <c r="C68" s="27" t="s">
        <v>262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250420.273972603</v>
      </c>
      <c r="K68" s="32">
        <f t="shared" si="2"/>
        <v>12521.0136986301</v>
      </c>
      <c r="L68" s="32">
        <v>3000</v>
      </c>
      <c r="M68" s="32">
        <f t="shared" si="3"/>
        <v>265941.287671233</v>
      </c>
      <c r="N68" s="33" t="s">
        <v>194</v>
      </c>
      <c r="O68" s="33" t="s">
        <v>28</v>
      </c>
    </row>
    <row r="69" ht="15.75" customHeight="1" spans="1:15">
      <c r="A69" s="27" t="s">
        <v>56</v>
      </c>
      <c r="B69" s="27" t="s">
        <v>29</v>
      </c>
      <c r="C69" s="27" t="s">
        <v>263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250420.273972603</v>
      </c>
      <c r="K69" s="32">
        <f t="shared" si="2"/>
        <v>12521.0136986301</v>
      </c>
      <c r="L69" s="32">
        <v>3000</v>
      </c>
      <c r="M69" s="32">
        <f t="shared" si="3"/>
        <v>265941.287671233</v>
      </c>
      <c r="N69" s="33" t="s">
        <v>194</v>
      </c>
      <c r="O69" s="33" t="s">
        <v>28</v>
      </c>
    </row>
    <row r="70" ht="15.75" customHeight="1" spans="1:15">
      <c r="A70" s="27" t="s">
        <v>56</v>
      </c>
      <c r="B70" s="27" t="s">
        <v>29</v>
      </c>
      <c r="C70" s="27" t="s">
        <v>264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250420.273972603</v>
      </c>
      <c r="K70" s="32">
        <f t="shared" si="2"/>
        <v>12521.0136986301</v>
      </c>
      <c r="L70" s="32">
        <v>3000</v>
      </c>
      <c r="M70" s="32">
        <f t="shared" si="3"/>
        <v>265941.287671233</v>
      </c>
      <c r="N70" s="33" t="s">
        <v>194</v>
      </c>
      <c r="O70" s="33" t="s">
        <v>28</v>
      </c>
    </row>
    <row r="71" ht="15.75" customHeight="1" spans="1:15">
      <c r="A71" s="27" t="s">
        <v>56</v>
      </c>
      <c r="B71" s="27" t="s">
        <v>29</v>
      </c>
      <c r="C71" s="27" t="s">
        <v>265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250420.273972603</v>
      </c>
      <c r="K71" s="32">
        <f t="shared" si="2"/>
        <v>12521.0136986301</v>
      </c>
      <c r="L71" s="32">
        <v>3000</v>
      </c>
      <c r="M71" s="32">
        <f t="shared" si="3"/>
        <v>265941.287671233</v>
      </c>
      <c r="N71" s="33" t="s">
        <v>194</v>
      </c>
      <c r="O71" s="33" t="s">
        <v>28</v>
      </c>
    </row>
    <row r="72" ht="15.75" customHeight="1" spans="1:15">
      <c r="A72" s="27" t="s">
        <v>56</v>
      </c>
      <c r="B72" s="27" t="s">
        <v>29</v>
      </c>
      <c r="C72" s="27" t="s">
        <v>266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250420.273972603</v>
      </c>
      <c r="K72" s="32">
        <f t="shared" si="2"/>
        <v>12521.0136986301</v>
      </c>
      <c r="L72" s="32">
        <v>3000</v>
      </c>
      <c r="M72" s="32">
        <f t="shared" si="3"/>
        <v>265941.287671233</v>
      </c>
      <c r="N72" s="33" t="s">
        <v>194</v>
      </c>
      <c r="O72" s="33" t="s">
        <v>28</v>
      </c>
    </row>
    <row r="73" ht="15.75" customHeight="1" spans="1:15">
      <c r="A73" s="27" t="s">
        <v>48</v>
      </c>
      <c r="B73" s="27" t="s">
        <v>41</v>
      </c>
      <c r="C73" s="27" t="s">
        <v>267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</v>
      </c>
      <c r="K73" s="32">
        <f t="shared" si="2"/>
        <v>21619.0071232877</v>
      </c>
      <c r="L73" s="32">
        <v>10000</v>
      </c>
      <c r="M73" s="32">
        <f t="shared" si="3"/>
        <v>463999.149589041</v>
      </c>
      <c r="N73" s="33" t="s">
        <v>194</v>
      </c>
      <c r="O73" s="33" t="s">
        <v>28</v>
      </c>
    </row>
    <row r="74" ht="15.75" customHeight="1" spans="1:15">
      <c r="A74" s="27" t="s">
        <v>48</v>
      </c>
      <c r="B74" s="27" t="s">
        <v>41</v>
      </c>
      <c r="C74" s="27" t="s">
        <v>268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</v>
      </c>
      <c r="K74" s="32">
        <f t="shared" si="2"/>
        <v>20668.7210958904</v>
      </c>
      <c r="L74" s="32">
        <v>10000</v>
      </c>
      <c r="M74" s="32">
        <f t="shared" si="3"/>
        <v>444043.143013699</v>
      </c>
      <c r="N74" s="33" t="s">
        <v>194</v>
      </c>
      <c r="O74" s="33" t="s">
        <v>28</v>
      </c>
    </row>
    <row r="75" ht="15.75" customHeight="1" spans="1:16">
      <c r="A75" s="27" t="s">
        <v>269</v>
      </c>
      <c r="B75" s="27" t="s">
        <v>29</v>
      </c>
      <c r="C75" s="27" t="s">
        <v>270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215122.991780822</v>
      </c>
      <c r="K75" s="32">
        <f t="shared" si="2"/>
        <v>10756.1495890411</v>
      </c>
      <c r="L75" s="32">
        <v>10000</v>
      </c>
      <c r="M75" s="32">
        <f t="shared" si="3"/>
        <v>235879.141369863</v>
      </c>
      <c r="N75" s="33" t="s">
        <v>194</v>
      </c>
      <c r="O75" s="33" t="s">
        <v>28</v>
      </c>
      <c r="P75" s="33"/>
    </row>
    <row r="76" ht="15.75" customHeight="1" spans="1:15">
      <c r="A76" s="27" t="s">
        <v>55</v>
      </c>
      <c r="B76" s="27" t="s">
        <v>29</v>
      </c>
      <c r="C76" s="27" t="s">
        <v>271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</v>
      </c>
      <c r="K76" s="32">
        <f t="shared" si="2"/>
        <v>2274.54767123288</v>
      </c>
      <c r="L76" s="32">
        <v>5000</v>
      </c>
      <c r="M76" s="32">
        <f t="shared" si="3"/>
        <v>52765.5010958904</v>
      </c>
      <c r="N76" s="33" t="s">
        <v>194</v>
      </c>
      <c r="O76" s="33" t="s">
        <v>28</v>
      </c>
    </row>
    <row r="77" ht="15.75" customHeight="1" spans="1:15">
      <c r="A77" s="27" t="s">
        <v>272</v>
      </c>
      <c r="B77" s="27" t="s">
        <v>35</v>
      </c>
      <c r="C77" s="27" t="s">
        <v>273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</v>
      </c>
      <c r="K77" s="32">
        <f t="shared" si="2"/>
        <v>45539.3917808219</v>
      </c>
      <c r="L77" s="32">
        <v>50000</v>
      </c>
      <c r="M77" s="32">
        <f t="shared" si="3"/>
        <v>1006327.22739726</v>
      </c>
      <c r="N77" s="33" t="s">
        <v>194</v>
      </c>
      <c r="O77" s="33" t="s">
        <v>28</v>
      </c>
    </row>
    <row r="78" ht="15.75" customHeight="1" spans="1:15">
      <c r="A78" s="27" t="s">
        <v>56</v>
      </c>
      <c r="B78" s="27" t="s">
        <v>29</v>
      </c>
      <c r="C78" s="27" t="s">
        <v>274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228689.589041096</v>
      </c>
      <c r="K78" s="32">
        <f t="shared" si="2"/>
        <v>11434.4794520548</v>
      </c>
      <c r="L78" s="32">
        <v>3000</v>
      </c>
      <c r="M78" s="32">
        <f t="shared" si="3"/>
        <v>243124.068493151</v>
      </c>
      <c r="N78" s="33" t="s">
        <v>194</v>
      </c>
      <c r="O78" s="33" t="s">
        <v>28</v>
      </c>
    </row>
    <row r="79" ht="15.75" customHeight="1" spans="1:15">
      <c r="A79" s="27" t="s">
        <v>56</v>
      </c>
      <c r="B79" s="27" t="s">
        <v>29</v>
      </c>
      <c r="C79" s="27" t="s">
        <v>275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</v>
      </c>
      <c r="K79" s="32">
        <f t="shared" si="2"/>
        <v>10968.8219178082</v>
      </c>
      <c r="L79" s="32">
        <v>3000</v>
      </c>
      <c r="M79" s="32">
        <f t="shared" si="3"/>
        <v>233345.260273973</v>
      </c>
      <c r="N79" s="33" t="s">
        <v>194</v>
      </c>
      <c r="O79" s="33" t="s">
        <v>28</v>
      </c>
    </row>
    <row r="80" ht="15.75" customHeight="1" spans="1:15">
      <c r="A80" s="27" t="s">
        <v>56</v>
      </c>
      <c r="B80" s="27" t="s">
        <v>29</v>
      </c>
      <c r="C80" s="27" t="s">
        <v>276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216272.054794521</v>
      </c>
      <c r="K80" s="32">
        <f t="shared" si="2"/>
        <v>10813.602739726</v>
      </c>
      <c r="L80" s="32">
        <v>3000</v>
      </c>
      <c r="M80" s="32">
        <f t="shared" si="3"/>
        <v>230085.657534247</v>
      </c>
      <c r="N80" s="33" t="s">
        <v>194</v>
      </c>
      <c r="O80" s="33" t="s">
        <v>28</v>
      </c>
    </row>
    <row r="81" ht="15.75" customHeight="1" spans="1:15">
      <c r="A81" s="27" t="s">
        <v>56</v>
      </c>
      <c r="B81" s="27" t="s">
        <v>29</v>
      </c>
      <c r="C81" s="27" t="s">
        <v>277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207993.698630137</v>
      </c>
      <c r="K81" s="32">
        <f t="shared" si="2"/>
        <v>10399.6849315069</v>
      </c>
      <c r="L81" s="32">
        <v>3000</v>
      </c>
      <c r="M81" s="32">
        <f t="shared" si="3"/>
        <v>221393.383561644</v>
      </c>
      <c r="N81" s="33" t="s">
        <v>194</v>
      </c>
      <c r="O81" s="33" t="s">
        <v>28</v>
      </c>
    </row>
    <row r="82" ht="15.75" customHeight="1" spans="1:15">
      <c r="A82" s="27" t="s">
        <v>56</v>
      </c>
      <c r="B82" s="27" t="s">
        <v>29</v>
      </c>
      <c r="C82" s="27" t="s">
        <v>278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207993.698630137</v>
      </c>
      <c r="K82" s="32">
        <f t="shared" si="2"/>
        <v>10399.6849315069</v>
      </c>
      <c r="L82" s="32">
        <v>3000</v>
      </c>
      <c r="M82" s="32">
        <f t="shared" si="3"/>
        <v>221393.383561644</v>
      </c>
      <c r="N82" s="33" t="s">
        <v>194</v>
      </c>
      <c r="O82" s="33" t="s">
        <v>28</v>
      </c>
    </row>
    <row r="83" ht="15.75" customHeight="1" spans="1:15">
      <c r="A83" s="27" t="s">
        <v>56</v>
      </c>
      <c r="B83" s="27" t="s">
        <v>29</v>
      </c>
      <c r="C83" s="27" t="s">
        <v>279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207993.698630137</v>
      </c>
      <c r="K83" s="32">
        <f t="shared" si="2"/>
        <v>10399.6849315069</v>
      </c>
      <c r="L83" s="32">
        <v>3000</v>
      </c>
      <c r="M83" s="32">
        <f t="shared" si="3"/>
        <v>221393.383561644</v>
      </c>
      <c r="N83" s="33" t="s">
        <v>194</v>
      </c>
      <c r="O83" s="33" t="s">
        <v>28</v>
      </c>
    </row>
    <row r="84" ht="15.75" customHeight="1" spans="1:15">
      <c r="A84" s="27" t="s">
        <v>56</v>
      </c>
      <c r="B84" s="27" t="s">
        <v>29</v>
      </c>
      <c r="C84" s="27" t="s">
        <v>280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207993.698630137</v>
      </c>
      <c r="K84" s="32">
        <f t="shared" si="2"/>
        <v>10399.6849315069</v>
      </c>
      <c r="L84" s="32">
        <v>3000</v>
      </c>
      <c r="M84" s="32">
        <f t="shared" si="3"/>
        <v>221393.383561644</v>
      </c>
      <c r="N84" s="33" t="s">
        <v>194</v>
      </c>
      <c r="O84" s="33" t="s">
        <v>28</v>
      </c>
    </row>
    <row r="85" ht="15.75" customHeight="1" spans="1:15">
      <c r="A85" s="27" t="s">
        <v>56</v>
      </c>
      <c r="B85" s="27" t="s">
        <v>29</v>
      </c>
      <c r="C85" s="27" t="s">
        <v>281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207993.698630137</v>
      </c>
      <c r="K85" s="32">
        <f t="shared" si="2"/>
        <v>10399.6849315069</v>
      </c>
      <c r="L85" s="32">
        <v>3000</v>
      </c>
      <c r="M85" s="32">
        <f t="shared" si="3"/>
        <v>221393.383561644</v>
      </c>
      <c r="N85" s="33" t="s">
        <v>194</v>
      </c>
      <c r="O85" s="33" t="s">
        <v>28</v>
      </c>
    </row>
    <row r="86" ht="15.75" customHeight="1" spans="1:15">
      <c r="A86" s="27" t="s">
        <v>56</v>
      </c>
      <c r="B86" s="27" t="s">
        <v>29</v>
      </c>
      <c r="C86" s="27" t="s">
        <v>282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207993.698630137</v>
      </c>
      <c r="K86" s="32">
        <f t="shared" si="2"/>
        <v>10399.6849315069</v>
      </c>
      <c r="L86" s="32">
        <v>3000</v>
      </c>
      <c r="M86" s="32">
        <f t="shared" si="3"/>
        <v>221393.383561644</v>
      </c>
      <c r="N86" s="33" t="s">
        <v>194</v>
      </c>
      <c r="O86" s="33" t="s">
        <v>28</v>
      </c>
    </row>
    <row r="87" ht="15.75" customHeight="1" spans="1:15">
      <c r="A87" s="27" t="s">
        <v>56</v>
      </c>
      <c r="B87" s="27" t="s">
        <v>29</v>
      </c>
      <c r="C87" s="27" t="s">
        <v>283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207993.698630137</v>
      </c>
      <c r="K87" s="32">
        <f t="shared" si="2"/>
        <v>10399.6849315069</v>
      </c>
      <c r="L87" s="32">
        <v>3000</v>
      </c>
      <c r="M87" s="32">
        <f t="shared" si="3"/>
        <v>221393.383561644</v>
      </c>
      <c r="N87" s="33" t="s">
        <v>194</v>
      </c>
      <c r="O87" s="33" t="s">
        <v>28</v>
      </c>
    </row>
    <row r="88" ht="15.75" customHeight="1" spans="1:15">
      <c r="A88" s="27" t="s">
        <v>56</v>
      </c>
      <c r="B88" s="27" t="s">
        <v>29</v>
      </c>
      <c r="C88" s="27" t="s">
        <v>284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207993.698630137</v>
      </c>
      <c r="K88" s="32">
        <f t="shared" si="2"/>
        <v>10399.6849315069</v>
      </c>
      <c r="L88" s="32">
        <v>3000</v>
      </c>
      <c r="M88" s="32">
        <f t="shared" si="3"/>
        <v>221393.383561644</v>
      </c>
      <c r="N88" s="33" t="s">
        <v>194</v>
      </c>
      <c r="O88" s="33" t="s">
        <v>28</v>
      </c>
    </row>
    <row r="89" ht="15.75" customHeight="1" spans="1:15">
      <c r="A89" s="27" t="s">
        <v>56</v>
      </c>
      <c r="B89" s="27" t="s">
        <v>29</v>
      </c>
      <c r="C89" s="27" t="s">
        <v>285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207993.698630137</v>
      </c>
      <c r="K89" s="32">
        <f t="shared" si="2"/>
        <v>10399.6849315069</v>
      </c>
      <c r="L89" s="32">
        <v>3000</v>
      </c>
      <c r="M89" s="32">
        <f t="shared" si="3"/>
        <v>221393.383561644</v>
      </c>
      <c r="N89" s="33" t="s">
        <v>194</v>
      </c>
      <c r="O89" s="33" t="s">
        <v>28</v>
      </c>
    </row>
    <row r="90" ht="15.75" customHeight="1" spans="1:15">
      <c r="A90" s="27" t="s">
        <v>56</v>
      </c>
      <c r="B90" s="27" t="s">
        <v>29</v>
      </c>
      <c r="C90" s="27" t="s">
        <v>286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207993.698630137</v>
      </c>
      <c r="K90" s="32">
        <f t="shared" si="2"/>
        <v>10399.6849315069</v>
      </c>
      <c r="L90" s="32">
        <v>3000</v>
      </c>
      <c r="M90" s="32">
        <f t="shared" si="3"/>
        <v>221393.383561644</v>
      </c>
      <c r="N90" s="33" t="s">
        <v>194</v>
      </c>
      <c r="O90" s="33" t="s">
        <v>28</v>
      </c>
    </row>
    <row r="91" ht="15.75" customHeight="1" spans="1:15">
      <c r="A91" s="27" t="s">
        <v>287</v>
      </c>
      <c r="B91" s="27" t="s">
        <v>29</v>
      </c>
      <c r="C91" s="27" t="s">
        <v>288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362153.961643836</v>
      </c>
      <c r="K91" s="32">
        <f t="shared" si="2"/>
        <v>18107.6980821918</v>
      </c>
      <c r="L91" s="32">
        <v>10000</v>
      </c>
      <c r="M91" s="32">
        <f t="shared" si="3"/>
        <v>390261.659726027</v>
      </c>
      <c r="N91" s="33" t="s">
        <v>194</v>
      </c>
      <c r="O91" s="33" t="s">
        <v>28</v>
      </c>
    </row>
    <row r="92" ht="15.75" customHeight="1" spans="1:15">
      <c r="A92" s="27" t="s">
        <v>33</v>
      </c>
      <c r="B92" s="27" t="s">
        <v>29</v>
      </c>
      <c r="C92" s="27" t="s">
        <v>289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1085843.83561644</v>
      </c>
      <c r="K92" s="32">
        <f t="shared" si="2"/>
        <v>54292.1917808219</v>
      </c>
      <c r="L92" s="32">
        <v>15000</v>
      </c>
      <c r="M92" s="32">
        <f t="shared" si="3"/>
        <v>1155136.02739726</v>
      </c>
      <c r="N92" s="33" t="s">
        <v>194</v>
      </c>
      <c r="O92" s="33" t="s">
        <v>28</v>
      </c>
    </row>
    <row r="93" ht="15.75" customHeight="1" spans="1:15">
      <c r="A93" s="27" t="s">
        <v>97</v>
      </c>
      <c r="B93" s="27" t="s">
        <v>29</v>
      </c>
      <c r="C93" s="27" t="s">
        <v>290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1224674.67123288</v>
      </c>
      <c r="K93" s="32">
        <f t="shared" si="2"/>
        <v>61233.7335616438</v>
      </c>
      <c r="L93" s="32">
        <v>10000</v>
      </c>
      <c r="M93" s="32">
        <f t="shared" si="3"/>
        <v>1295908.40479452</v>
      </c>
      <c r="N93" s="33" t="s">
        <v>194</v>
      </c>
      <c r="O93" s="33" t="s">
        <v>28</v>
      </c>
    </row>
    <row r="94" ht="15.75" customHeight="1" spans="1:15">
      <c r="A94" s="27" t="s">
        <v>291</v>
      </c>
      <c r="B94" s="27" t="s">
        <v>29</v>
      </c>
      <c r="C94" s="27" t="s">
        <v>292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</v>
      </c>
      <c r="K94" s="32">
        <f t="shared" si="2"/>
        <v>15777.2950684932</v>
      </c>
      <c r="L94" s="32">
        <v>50000</v>
      </c>
      <c r="M94" s="32">
        <f t="shared" si="3"/>
        <v>381323.196438356</v>
      </c>
      <c r="N94" s="33" t="s">
        <v>194</v>
      </c>
      <c r="O94" s="33" t="s">
        <v>28</v>
      </c>
    </row>
    <row r="95" ht="15.75" customHeight="1" spans="1:15">
      <c r="A95" s="27" t="s">
        <v>291</v>
      </c>
      <c r="B95" s="27" t="s">
        <v>29</v>
      </c>
      <c r="C95" s="27" t="s">
        <v>293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</v>
      </c>
      <c r="K95" s="32">
        <f t="shared" si="2"/>
        <v>9879.82726027397</v>
      </c>
      <c r="L95" s="32">
        <v>20000</v>
      </c>
      <c r="M95" s="32">
        <f t="shared" si="3"/>
        <v>227476.372465753</v>
      </c>
      <c r="N95" s="33" t="s">
        <v>194</v>
      </c>
      <c r="O95" s="33" t="s">
        <v>28</v>
      </c>
    </row>
    <row r="96" ht="15.75" customHeight="1" spans="1:15">
      <c r="A96" s="27" t="s">
        <v>33</v>
      </c>
      <c r="B96" s="27" t="s">
        <v>29</v>
      </c>
      <c r="C96" s="27" t="s">
        <v>294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355532.098630137</v>
      </c>
      <c r="K96" s="32">
        <f t="shared" si="2"/>
        <v>17776.6049315068</v>
      </c>
      <c r="L96" s="32">
        <v>5000</v>
      </c>
      <c r="M96" s="32">
        <f t="shared" si="3"/>
        <v>378308.703561644</v>
      </c>
      <c r="N96" s="33" t="s">
        <v>194</v>
      </c>
      <c r="O96" s="33" t="s">
        <v>28</v>
      </c>
    </row>
    <row r="97" ht="15.75" customHeight="1" spans="1:15">
      <c r="A97" s="27" t="s">
        <v>33</v>
      </c>
      <c r="B97" s="27" t="s">
        <v>29</v>
      </c>
      <c r="C97" s="27" t="s">
        <v>295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1058438.6630137</v>
      </c>
      <c r="K97" s="32">
        <f t="shared" si="2"/>
        <v>52921.9331506849</v>
      </c>
      <c r="L97" s="32">
        <v>25000</v>
      </c>
      <c r="M97" s="32">
        <f t="shared" si="3"/>
        <v>1136360.59616438</v>
      </c>
      <c r="N97" s="33" t="s">
        <v>194</v>
      </c>
      <c r="O97" s="33" t="s">
        <v>28</v>
      </c>
    </row>
    <row r="98" ht="15.75" customHeight="1" spans="1:15">
      <c r="A98" s="27" t="s">
        <v>33</v>
      </c>
      <c r="B98" s="27" t="s">
        <v>29</v>
      </c>
      <c r="C98" s="27" t="s">
        <v>296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355532.098630137</v>
      </c>
      <c r="K98" s="32">
        <f t="shared" si="2"/>
        <v>17776.6049315068</v>
      </c>
      <c r="L98" s="32">
        <v>5000</v>
      </c>
      <c r="M98" s="32">
        <f t="shared" si="3"/>
        <v>378308.703561644</v>
      </c>
      <c r="N98" s="33" t="s">
        <v>194</v>
      </c>
      <c r="O98" s="33" t="s">
        <v>28</v>
      </c>
    </row>
    <row r="99" ht="15.75" customHeight="1" spans="1:15">
      <c r="A99" s="27" t="s">
        <v>33</v>
      </c>
      <c r="B99" s="27" t="s">
        <v>29</v>
      </c>
      <c r="C99" s="27" t="s">
        <v>297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355532.098630137</v>
      </c>
      <c r="K99" s="32">
        <f t="shared" si="2"/>
        <v>17776.6049315068</v>
      </c>
      <c r="L99" s="32">
        <v>5000</v>
      </c>
      <c r="M99" s="32">
        <f t="shared" si="3"/>
        <v>378308.703561644</v>
      </c>
      <c r="N99" s="33" t="s">
        <v>194</v>
      </c>
      <c r="O99" s="33" t="s">
        <v>28</v>
      </c>
    </row>
    <row r="100" ht="15.75" customHeight="1" spans="1:15">
      <c r="A100" s="27" t="s">
        <v>298</v>
      </c>
      <c r="B100" s="27" t="s">
        <v>29</v>
      </c>
      <c r="C100" s="27" t="s">
        <v>299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</v>
      </c>
      <c r="K100" s="32">
        <f t="shared" si="2"/>
        <v>16727.7753424658</v>
      </c>
      <c r="L100" s="32">
        <v>10000</v>
      </c>
      <c r="M100" s="32">
        <f t="shared" si="3"/>
        <v>361283.282191781</v>
      </c>
      <c r="N100" s="33" t="s">
        <v>194</v>
      </c>
      <c r="O100" s="33" t="s">
        <v>28</v>
      </c>
    </row>
    <row r="101" ht="15.75" customHeight="1" spans="1:15">
      <c r="A101" s="27" t="s">
        <v>117</v>
      </c>
      <c r="B101" s="27" t="s">
        <v>35</v>
      </c>
      <c r="C101" s="27" t="s">
        <v>300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950804.876712329</v>
      </c>
      <c r="K101" s="32">
        <f t="shared" si="2"/>
        <v>47540.2438356164</v>
      </c>
      <c r="L101" s="32">
        <v>15000</v>
      </c>
      <c r="M101" s="32">
        <f t="shared" si="3"/>
        <v>1013345.12054795</v>
      </c>
      <c r="N101" s="33" t="s">
        <v>194</v>
      </c>
      <c r="O101" s="33" t="s">
        <v>28</v>
      </c>
    </row>
    <row r="102" ht="15.75" customHeight="1" spans="1:15">
      <c r="A102" s="27" t="s">
        <v>117</v>
      </c>
      <c r="B102" s="27" t="s">
        <v>35</v>
      </c>
      <c r="C102" s="27" t="s">
        <v>301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456772.767123288</v>
      </c>
      <c r="K102" s="32">
        <f t="shared" si="2"/>
        <v>22838.6383561644</v>
      </c>
      <c r="L102" s="32">
        <v>5000</v>
      </c>
      <c r="M102" s="32">
        <f t="shared" si="3"/>
        <v>484611.405479452</v>
      </c>
      <c r="N102" s="33" t="s">
        <v>194</v>
      </c>
      <c r="O102" s="33" t="s">
        <v>28</v>
      </c>
    </row>
    <row r="103" ht="15.75" customHeight="1" spans="1:15">
      <c r="A103" s="27" t="s">
        <v>117</v>
      </c>
      <c r="B103" s="27" t="s">
        <v>35</v>
      </c>
      <c r="C103" s="27" t="s">
        <v>302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</v>
      </c>
      <c r="K103" s="32">
        <f t="shared" si="2"/>
        <v>56217.4164383562</v>
      </c>
      <c r="L103" s="32">
        <v>20000</v>
      </c>
      <c r="M103" s="32">
        <f t="shared" si="3"/>
        <v>1200565.74520548</v>
      </c>
      <c r="N103" s="33" t="s">
        <v>194</v>
      </c>
      <c r="O103" s="33" t="s">
        <v>28</v>
      </c>
    </row>
    <row r="104" ht="15.75" customHeight="1" spans="1:15">
      <c r="A104" s="27" t="s">
        <v>303</v>
      </c>
      <c r="B104" s="27" t="s">
        <v>29</v>
      </c>
      <c r="C104" s="27" t="s">
        <v>304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</v>
      </c>
      <c r="J104" s="32">
        <f>I104*H104/122</f>
        <v>65916030.84</v>
      </c>
      <c r="K104" s="32">
        <f t="shared" si="2"/>
        <v>3295801.542</v>
      </c>
      <c r="L104" s="32">
        <v>0</v>
      </c>
      <c r="M104" s="32">
        <f t="shared" si="3"/>
        <v>69211832.382</v>
      </c>
      <c r="N104" s="33" t="s">
        <v>194</v>
      </c>
      <c r="O104" s="33" t="s">
        <v>28</v>
      </c>
    </row>
    <row r="105" ht="15.75" customHeight="1" spans="1:15">
      <c r="A105" s="27" t="s">
        <v>136</v>
      </c>
      <c r="B105" s="27" t="s">
        <v>35</v>
      </c>
      <c r="C105" s="27" t="s">
        <v>305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</v>
      </c>
      <c r="K105" s="32">
        <f t="shared" si="2"/>
        <v>65597.0712328767</v>
      </c>
      <c r="L105" s="32">
        <v>25000</v>
      </c>
      <c r="M105" s="32">
        <f t="shared" si="3"/>
        <v>1402538.49589041</v>
      </c>
      <c r="N105" s="33" t="s">
        <v>194</v>
      </c>
      <c r="O105" s="33" t="s">
        <v>28</v>
      </c>
    </row>
    <row r="106" ht="15.75" customHeight="1" spans="1:15">
      <c r="A106" s="35" t="s">
        <v>64</v>
      </c>
      <c r="B106" s="35" t="s">
        <v>29</v>
      </c>
      <c r="C106" s="35" t="s">
        <v>306</v>
      </c>
      <c r="D106" s="36">
        <v>45358</v>
      </c>
      <c r="E106" s="29" t="str">
        <f t="shared" si="8"/>
        <v>March</v>
      </c>
      <c r="F106" s="18">
        <f t="shared" si="9"/>
        <v>2024</v>
      </c>
      <c r="G106" s="37">
        <v>45581</v>
      </c>
      <c r="H106" s="38">
        <f t="shared" si="10"/>
        <v>224</v>
      </c>
      <c r="I106" s="43">
        <v>503134</v>
      </c>
      <c r="J106" s="43">
        <f t="shared" si="11"/>
        <v>308772.646575342</v>
      </c>
      <c r="K106" s="43">
        <f t="shared" si="2"/>
        <v>15438.6323287671</v>
      </c>
      <c r="L106" s="43">
        <v>10000</v>
      </c>
      <c r="M106" s="43">
        <f t="shared" si="3"/>
        <v>334211.27890411</v>
      </c>
      <c r="N106" s="33" t="s">
        <v>194</v>
      </c>
      <c r="O106" s="33" t="s">
        <v>28</v>
      </c>
    </row>
    <row r="107" ht="15.75" customHeight="1" spans="1:15">
      <c r="A107" s="35" t="s">
        <v>64</v>
      </c>
      <c r="B107" s="35" t="s">
        <v>29</v>
      </c>
      <c r="C107" s="35" t="s">
        <v>307</v>
      </c>
      <c r="D107" s="36">
        <v>45364</v>
      </c>
      <c r="E107" s="29" t="str">
        <f t="shared" si="8"/>
        <v>March</v>
      </c>
      <c r="F107" s="18">
        <f t="shared" si="9"/>
        <v>2024</v>
      </c>
      <c r="G107" s="37">
        <v>45581</v>
      </c>
      <c r="H107" s="38">
        <f t="shared" si="10"/>
        <v>218</v>
      </c>
      <c r="I107" s="43">
        <v>1228287</v>
      </c>
      <c r="J107" s="43">
        <f t="shared" si="11"/>
        <v>733607.030136986</v>
      </c>
      <c r="K107" s="43">
        <f t="shared" si="2"/>
        <v>36680.3515068493</v>
      </c>
      <c r="L107" s="43">
        <v>60000</v>
      </c>
      <c r="M107" s="43">
        <f t="shared" si="3"/>
        <v>830287.381643836</v>
      </c>
      <c r="N107" s="33" t="s">
        <v>194</v>
      </c>
      <c r="O107" s="33" t="s">
        <v>28</v>
      </c>
    </row>
    <row r="108" ht="15.75" customHeight="1" spans="1:15">
      <c r="A108" s="35" t="s">
        <v>64</v>
      </c>
      <c r="B108" s="35" t="s">
        <v>29</v>
      </c>
      <c r="C108" s="35" t="s">
        <v>308</v>
      </c>
      <c r="D108" s="36">
        <v>45425</v>
      </c>
      <c r="E108" s="29" t="str">
        <f t="shared" si="8"/>
        <v>May</v>
      </c>
      <c r="F108" s="18">
        <f t="shared" si="9"/>
        <v>2024</v>
      </c>
      <c r="G108" s="37">
        <v>45581</v>
      </c>
      <c r="H108" s="38">
        <f t="shared" si="10"/>
        <v>157</v>
      </c>
      <c r="I108" s="43">
        <v>503134</v>
      </c>
      <c r="J108" s="43">
        <f t="shared" si="11"/>
        <v>216416.542465753</v>
      </c>
      <c r="K108" s="43">
        <f t="shared" si="2"/>
        <v>10820.8271232877</v>
      </c>
      <c r="L108" s="43">
        <v>10000</v>
      </c>
      <c r="M108" s="43">
        <f t="shared" si="3"/>
        <v>237237.369589041</v>
      </c>
      <c r="N108" s="33" t="s">
        <v>194</v>
      </c>
      <c r="O108" s="33" t="s">
        <v>28</v>
      </c>
    </row>
    <row r="109" ht="15.75" customHeight="1" spans="1:15">
      <c r="A109" s="35" t="s">
        <v>64</v>
      </c>
      <c r="B109" s="35" t="s">
        <v>29</v>
      </c>
      <c r="C109" s="35" t="s">
        <v>309</v>
      </c>
      <c r="D109" s="36">
        <v>45425</v>
      </c>
      <c r="E109" s="29" t="str">
        <f t="shared" si="8"/>
        <v>May</v>
      </c>
      <c r="F109" s="18">
        <f t="shared" si="9"/>
        <v>2024</v>
      </c>
      <c r="G109" s="37">
        <v>45581</v>
      </c>
      <c r="H109" s="38">
        <f t="shared" si="10"/>
        <v>157</v>
      </c>
      <c r="I109" s="43">
        <v>1381854</v>
      </c>
      <c r="J109" s="43">
        <f t="shared" si="11"/>
        <v>594386.515068493</v>
      </c>
      <c r="K109" s="43">
        <f t="shared" si="2"/>
        <v>29719.3257534247</v>
      </c>
      <c r="L109" s="43">
        <v>40000</v>
      </c>
      <c r="M109" s="43">
        <f t="shared" si="3"/>
        <v>664105.840821918</v>
      </c>
      <c r="N109" s="33" t="s">
        <v>194</v>
      </c>
      <c r="O109" s="33" t="s">
        <v>28</v>
      </c>
    </row>
    <row r="110" ht="15.75" customHeight="1" spans="1:15">
      <c r="A110" s="27" t="s">
        <v>192</v>
      </c>
      <c r="B110" s="27" t="s">
        <v>35</v>
      </c>
      <c r="C110" s="27" t="s">
        <v>310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</v>
      </c>
      <c r="K110" s="32">
        <f t="shared" si="2"/>
        <v>7939.3404109589</v>
      </c>
      <c r="L110" s="32">
        <v>30000</v>
      </c>
      <c r="M110" s="32">
        <f t="shared" si="3"/>
        <v>196726.148630137</v>
      </c>
      <c r="N110" s="33" t="s">
        <v>194</v>
      </c>
      <c r="O110" s="33" t="s">
        <v>28</v>
      </c>
    </row>
    <row r="111" ht="15.75" customHeight="1" spans="1:15">
      <c r="A111" s="27" t="s">
        <v>117</v>
      </c>
      <c r="B111" s="27" t="s">
        <v>35</v>
      </c>
      <c r="C111" s="27" t="s">
        <v>311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169195.076712329</v>
      </c>
      <c r="K111" s="32">
        <f t="shared" si="2"/>
        <v>8459.75383561644</v>
      </c>
      <c r="L111" s="32">
        <v>5000</v>
      </c>
      <c r="M111" s="32">
        <f t="shared" si="3"/>
        <v>182654.830547945</v>
      </c>
      <c r="N111" s="33" t="s">
        <v>194</v>
      </c>
      <c r="O111" s="33" t="s">
        <v>28</v>
      </c>
    </row>
    <row r="112" ht="15.75" customHeight="1" spans="1:15">
      <c r="A112" s="27" t="s">
        <v>117</v>
      </c>
      <c r="B112" s="27" t="s">
        <v>35</v>
      </c>
      <c r="C112" s="27" t="s">
        <v>312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</v>
      </c>
      <c r="K112" s="32">
        <f t="shared" si="2"/>
        <v>5845.90534246575</v>
      </c>
      <c r="L112" s="32">
        <v>5000</v>
      </c>
      <c r="M112" s="32">
        <f t="shared" si="3"/>
        <v>127764.012191781</v>
      </c>
      <c r="N112" s="33" t="s">
        <v>194</v>
      </c>
      <c r="O112" s="33" t="s">
        <v>28</v>
      </c>
    </row>
    <row r="113" ht="15.75" customHeight="1" spans="1:15">
      <c r="A113" s="27" t="s">
        <v>117</v>
      </c>
      <c r="B113" s="27" t="s">
        <v>35</v>
      </c>
      <c r="C113" s="27" t="s">
        <v>313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</v>
      </c>
      <c r="K113" s="32">
        <f t="shared" si="2"/>
        <v>7937.06082191781</v>
      </c>
      <c r="L113" s="32">
        <v>5000</v>
      </c>
      <c r="M113" s="32">
        <f t="shared" si="3"/>
        <v>171678.277260274</v>
      </c>
      <c r="N113" s="33" t="s">
        <v>194</v>
      </c>
      <c r="O113" s="33" t="s">
        <v>28</v>
      </c>
    </row>
    <row r="114" ht="15.75" customHeight="1" spans="1:15">
      <c r="A114" s="27" t="s">
        <v>314</v>
      </c>
      <c r="B114" s="27" t="s">
        <v>29</v>
      </c>
      <c r="C114" s="27" t="s">
        <v>294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355532.098630137</v>
      </c>
      <c r="K114" s="32">
        <f t="shared" si="2"/>
        <v>17776.6049315068</v>
      </c>
      <c r="L114" s="32">
        <v>5000</v>
      </c>
      <c r="M114" s="32">
        <f t="shared" si="3"/>
        <v>378308.703561644</v>
      </c>
      <c r="N114" s="33" t="s">
        <v>194</v>
      </c>
      <c r="O114" s="33" t="s">
        <v>28</v>
      </c>
    </row>
    <row r="115" ht="15.75" customHeight="1" spans="1:15">
      <c r="A115" s="27" t="s">
        <v>314</v>
      </c>
      <c r="B115" s="27" t="s">
        <v>29</v>
      </c>
      <c r="C115" s="27" t="s">
        <v>295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1058438.6630137</v>
      </c>
      <c r="K115" s="32">
        <f t="shared" si="2"/>
        <v>52921.9331506849</v>
      </c>
      <c r="L115" s="32">
        <v>25000</v>
      </c>
      <c r="M115" s="32">
        <f t="shared" si="3"/>
        <v>1136360.59616438</v>
      </c>
      <c r="N115" s="33" t="s">
        <v>194</v>
      </c>
      <c r="O115" s="33" t="s">
        <v>28</v>
      </c>
    </row>
    <row r="116" ht="15.75" customHeight="1" spans="1:15">
      <c r="A116" s="27" t="s">
        <v>314</v>
      </c>
      <c r="B116" s="27" t="s">
        <v>29</v>
      </c>
      <c r="C116" s="27" t="s">
        <v>296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355532.098630137</v>
      </c>
      <c r="K116" s="32">
        <f t="shared" si="2"/>
        <v>17776.6049315068</v>
      </c>
      <c r="L116" s="32">
        <v>5000</v>
      </c>
      <c r="M116" s="32">
        <f t="shared" si="3"/>
        <v>378308.703561644</v>
      </c>
      <c r="N116" s="33" t="s">
        <v>194</v>
      </c>
      <c r="O116" s="33" t="s">
        <v>28</v>
      </c>
    </row>
    <row r="117" ht="15.75" customHeight="1" spans="1:15">
      <c r="A117" s="27" t="s">
        <v>314</v>
      </c>
      <c r="B117" s="27" t="s">
        <v>29</v>
      </c>
      <c r="C117" s="27" t="s">
        <v>297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355532.098630137</v>
      </c>
      <c r="K117" s="32">
        <f t="shared" si="2"/>
        <v>17776.6049315068</v>
      </c>
      <c r="L117" s="32">
        <v>5000</v>
      </c>
      <c r="M117" s="32">
        <f t="shared" si="3"/>
        <v>378308.703561644</v>
      </c>
      <c r="N117" s="33" t="s">
        <v>194</v>
      </c>
      <c r="O117" s="33" t="s">
        <v>28</v>
      </c>
    </row>
    <row r="118" ht="15.75" customHeight="1" spans="1:15">
      <c r="A118" s="27" t="s">
        <v>56</v>
      </c>
      <c r="B118" s="27" t="s">
        <v>29</v>
      </c>
      <c r="C118" s="27" t="s">
        <v>315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s="33" t="s">
        <v>194</v>
      </c>
      <c r="O118" s="33" t="s">
        <v>28</v>
      </c>
    </row>
    <row r="119" ht="15.75" customHeight="1" spans="1:15">
      <c r="A119" s="27" t="s">
        <v>56</v>
      </c>
      <c r="B119" s="27" t="s">
        <v>29</v>
      </c>
      <c r="C119" s="39" t="s">
        <v>316</v>
      </c>
      <c r="D119" s="28">
        <v>45467</v>
      </c>
      <c r="E119" s="29" t="str">
        <f t="shared" si="8"/>
        <v>June</v>
      </c>
      <c r="F119" s="18">
        <f t="shared" si="9"/>
        <v>2024</v>
      </c>
      <c r="G119" s="40">
        <v>45422</v>
      </c>
      <c r="H119" s="41">
        <v>136</v>
      </c>
      <c r="I119" s="44">
        <v>377700</v>
      </c>
      <c r="J119" s="45">
        <v>140732</v>
      </c>
      <c r="K119" s="46">
        <v>7037</v>
      </c>
      <c r="L119" s="46">
        <v>3000</v>
      </c>
      <c r="M119" s="46">
        <v>150769</v>
      </c>
      <c r="N119" s="33" t="s">
        <v>194</v>
      </c>
      <c r="O119" s="33" t="s">
        <v>28</v>
      </c>
    </row>
    <row r="120" ht="15.75" customHeight="1" spans="1:15">
      <c r="A120" s="27" t="s">
        <v>56</v>
      </c>
      <c r="B120" s="27" t="s">
        <v>29</v>
      </c>
      <c r="C120" s="39" t="s">
        <v>317</v>
      </c>
      <c r="D120" s="28">
        <v>45468</v>
      </c>
      <c r="E120" s="29" t="str">
        <f t="shared" si="8"/>
        <v>June</v>
      </c>
      <c r="F120" s="18">
        <f t="shared" si="9"/>
        <v>2024</v>
      </c>
      <c r="G120" s="40">
        <v>45422</v>
      </c>
      <c r="H120" s="41">
        <v>136</v>
      </c>
      <c r="I120" s="44">
        <v>377700</v>
      </c>
      <c r="J120" s="45">
        <v>140732</v>
      </c>
      <c r="K120" s="46">
        <v>7037</v>
      </c>
      <c r="L120" s="46">
        <v>3000</v>
      </c>
      <c r="M120" s="46">
        <v>150769</v>
      </c>
      <c r="N120" s="33" t="s">
        <v>194</v>
      </c>
      <c r="O120" s="33" t="s">
        <v>28</v>
      </c>
    </row>
    <row r="121" ht="15.75" customHeight="1" spans="1:15">
      <c r="A121" s="27" t="s">
        <v>56</v>
      </c>
      <c r="B121" s="27" t="s">
        <v>29</v>
      </c>
      <c r="C121" s="39" t="s">
        <v>318</v>
      </c>
      <c r="D121" s="28">
        <v>45469</v>
      </c>
      <c r="E121" s="29" t="str">
        <f t="shared" si="8"/>
        <v>June</v>
      </c>
      <c r="F121" s="18">
        <f t="shared" si="9"/>
        <v>2024</v>
      </c>
      <c r="G121" s="40">
        <v>45422</v>
      </c>
      <c r="H121" s="41">
        <v>136</v>
      </c>
      <c r="I121" s="44">
        <v>377700</v>
      </c>
      <c r="J121" s="45">
        <v>140732</v>
      </c>
      <c r="K121" s="46">
        <v>7037</v>
      </c>
      <c r="L121" s="46">
        <v>3000</v>
      </c>
      <c r="M121" s="46">
        <v>150769</v>
      </c>
      <c r="N121" s="33" t="s">
        <v>194</v>
      </c>
      <c r="O121" s="33" t="s">
        <v>28</v>
      </c>
    </row>
    <row r="122" ht="15.75" customHeight="1" spans="1:15">
      <c r="A122" s="27" t="s">
        <v>56</v>
      </c>
      <c r="B122" s="27" t="s">
        <v>29</v>
      </c>
      <c r="C122" s="39" t="s">
        <v>319</v>
      </c>
      <c r="D122" s="28">
        <v>45471</v>
      </c>
      <c r="E122" s="29" t="str">
        <f t="shared" si="8"/>
        <v>June</v>
      </c>
      <c r="F122" s="18">
        <f t="shared" si="9"/>
        <v>2024</v>
      </c>
      <c r="G122" s="40">
        <v>45422</v>
      </c>
      <c r="H122" s="41">
        <v>131</v>
      </c>
      <c r="I122" s="44">
        <v>377700</v>
      </c>
      <c r="J122" s="45">
        <v>135558</v>
      </c>
      <c r="K122" s="46">
        <v>6778</v>
      </c>
      <c r="L122" s="46">
        <v>3000</v>
      </c>
      <c r="M122" s="46">
        <v>145336</v>
      </c>
      <c r="N122" s="33" t="s">
        <v>194</v>
      </c>
      <c r="O122" s="33" t="s">
        <v>28</v>
      </c>
    </row>
    <row r="123" ht="15.75" customHeight="1" spans="1:15">
      <c r="A123" s="27" t="s">
        <v>56</v>
      </c>
      <c r="B123" s="27" t="s">
        <v>29</v>
      </c>
      <c r="C123" s="39" t="s">
        <v>320</v>
      </c>
      <c r="D123" s="28">
        <v>45472</v>
      </c>
      <c r="E123" s="29" t="str">
        <f t="shared" si="8"/>
        <v>June</v>
      </c>
      <c r="F123" s="18">
        <f t="shared" si="9"/>
        <v>2024</v>
      </c>
      <c r="G123" s="40">
        <v>45422</v>
      </c>
      <c r="H123" s="41">
        <v>130</v>
      </c>
      <c r="I123" s="44">
        <v>377700</v>
      </c>
      <c r="J123" s="45">
        <v>134523</v>
      </c>
      <c r="K123" s="46">
        <v>6726</v>
      </c>
      <c r="L123" s="46">
        <v>3000</v>
      </c>
      <c r="M123" s="46">
        <v>144249</v>
      </c>
      <c r="N123" s="33" t="s">
        <v>194</v>
      </c>
      <c r="O123" s="33" t="s">
        <v>28</v>
      </c>
    </row>
    <row r="124" ht="15.75" customHeight="1" spans="1:15">
      <c r="A124" s="27" t="s">
        <v>56</v>
      </c>
      <c r="B124" s="27" t="s">
        <v>29</v>
      </c>
      <c r="C124" s="39" t="s">
        <v>321</v>
      </c>
      <c r="D124" s="42">
        <v>45388</v>
      </c>
      <c r="E124" s="29" t="str">
        <f t="shared" si="8"/>
        <v>April</v>
      </c>
      <c r="F124" s="18">
        <f t="shared" si="9"/>
        <v>2024</v>
      </c>
      <c r="G124" s="40">
        <v>45422</v>
      </c>
      <c r="H124" s="41">
        <v>124</v>
      </c>
      <c r="I124" s="44">
        <v>377700</v>
      </c>
      <c r="J124" s="45">
        <v>128315</v>
      </c>
      <c r="K124" s="46">
        <v>6416</v>
      </c>
      <c r="L124" s="46">
        <v>3000</v>
      </c>
      <c r="M124" s="46">
        <v>137730</v>
      </c>
      <c r="N124" s="33" t="s">
        <v>194</v>
      </c>
      <c r="O124" s="33" t="s">
        <v>28</v>
      </c>
    </row>
    <row r="125" ht="15.75" customHeight="1" spans="1:15">
      <c r="A125" s="27" t="s">
        <v>56</v>
      </c>
      <c r="B125" s="27" t="s">
        <v>29</v>
      </c>
      <c r="C125" s="39" t="s">
        <v>322</v>
      </c>
      <c r="D125" s="42">
        <v>45388</v>
      </c>
      <c r="E125" s="29" t="str">
        <f t="shared" si="8"/>
        <v>April</v>
      </c>
      <c r="F125" s="18">
        <f t="shared" si="9"/>
        <v>2024</v>
      </c>
      <c r="G125" s="40">
        <v>45422</v>
      </c>
      <c r="H125" s="41">
        <v>124</v>
      </c>
      <c r="I125" s="44">
        <v>377700</v>
      </c>
      <c r="J125" s="45">
        <v>128315</v>
      </c>
      <c r="K125" s="46">
        <v>6416</v>
      </c>
      <c r="L125" s="46">
        <v>3000</v>
      </c>
      <c r="M125" s="46">
        <v>137730</v>
      </c>
      <c r="N125" s="33" t="s">
        <v>194</v>
      </c>
      <c r="O125" s="33" t="s">
        <v>28</v>
      </c>
    </row>
    <row r="126" ht="15.75" customHeight="1" spans="1:15">
      <c r="A126" s="27" t="s">
        <v>56</v>
      </c>
      <c r="B126" s="27" t="s">
        <v>29</v>
      </c>
      <c r="C126" s="39" t="s">
        <v>323</v>
      </c>
      <c r="D126" s="42">
        <v>45418</v>
      </c>
      <c r="E126" s="29" t="str">
        <f t="shared" si="8"/>
        <v>May</v>
      </c>
      <c r="F126" s="18">
        <f t="shared" si="9"/>
        <v>2024</v>
      </c>
      <c r="G126" s="40">
        <v>45422</v>
      </c>
      <c r="H126" s="41">
        <v>123</v>
      </c>
      <c r="I126" s="44">
        <v>377700</v>
      </c>
      <c r="J126" s="45">
        <v>127280</v>
      </c>
      <c r="K126" s="46">
        <v>6364</v>
      </c>
      <c r="L126" s="46">
        <v>3000</v>
      </c>
      <c r="M126" s="46">
        <v>136644</v>
      </c>
      <c r="N126" s="33" t="s">
        <v>194</v>
      </c>
      <c r="O126" s="33" t="s">
        <v>28</v>
      </c>
    </row>
    <row r="127" ht="15.75" customHeight="1" spans="1:15">
      <c r="A127" s="27" t="s">
        <v>56</v>
      </c>
      <c r="B127" s="27" t="s">
        <v>29</v>
      </c>
      <c r="C127" s="39" t="s">
        <v>324</v>
      </c>
      <c r="D127" s="42">
        <v>45418</v>
      </c>
      <c r="E127" s="29" t="str">
        <f t="shared" si="8"/>
        <v>May</v>
      </c>
      <c r="F127" s="18">
        <f t="shared" si="9"/>
        <v>2024</v>
      </c>
      <c r="G127" s="40">
        <v>45422</v>
      </c>
      <c r="H127" s="41">
        <v>123</v>
      </c>
      <c r="I127" s="44">
        <v>377700</v>
      </c>
      <c r="J127" s="45">
        <v>127280</v>
      </c>
      <c r="K127" s="46">
        <v>6364</v>
      </c>
      <c r="L127" s="46">
        <v>3000</v>
      </c>
      <c r="M127" s="46">
        <v>136644</v>
      </c>
      <c r="N127" s="33" t="s">
        <v>194</v>
      </c>
      <c r="O127" s="33" t="s">
        <v>28</v>
      </c>
    </row>
    <row r="128" ht="15.75" customHeight="1" spans="1:15">
      <c r="A128" s="27" t="s">
        <v>56</v>
      </c>
      <c r="B128" s="27" t="s">
        <v>29</v>
      </c>
      <c r="C128" s="39" t="s">
        <v>325</v>
      </c>
      <c r="D128" s="42">
        <v>45418</v>
      </c>
      <c r="E128" s="29" t="str">
        <f t="shared" si="8"/>
        <v>May</v>
      </c>
      <c r="F128" s="18">
        <f t="shared" si="9"/>
        <v>2024</v>
      </c>
      <c r="G128" s="40">
        <v>45422</v>
      </c>
      <c r="H128" s="41">
        <v>123</v>
      </c>
      <c r="I128" s="44">
        <v>377700</v>
      </c>
      <c r="J128" s="45">
        <v>127280</v>
      </c>
      <c r="K128" s="46">
        <v>6364</v>
      </c>
      <c r="L128" s="46">
        <v>3000</v>
      </c>
      <c r="M128" s="46">
        <v>136644</v>
      </c>
      <c r="N128" s="33" t="s">
        <v>194</v>
      </c>
      <c r="O128" s="33" t="s">
        <v>28</v>
      </c>
    </row>
    <row r="129" ht="15.75" customHeight="1" spans="1:15">
      <c r="A129" s="27" t="s">
        <v>56</v>
      </c>
      <c r="B129" s="27" t="s">
        <v>29</v>
      </c>
      <c r="C129" s="39" t="s">
        <v>326</v>
      </c>
      <c r="D129" s="42">
        <v>45418</v>
      </c>
      <c r="E129" s="29" t="str">
        <f t="shared" si="8"/>
        <v>May</v>
      </c>
      <c r="F129" s="18">
        <f t="shared" si="9"/>
        <v>2024</v>
      </c>
      <c r="G129" s="40">
        <v>45422</v>
      </c>
      <c r="H129" s="41">
        <v>123</v>
      </c>
      <c r="I129" s="44">
        <v>377700</v>
      </c>
      <c r="J129" s="45">
        <v>127280</v>
      </c>
      <c r="K129" s="46">
        <v>6364</v>
      </c>
      <c r="L129" s="46">
        <v>3000</v>
      </c>
      <c r="M129" s="46">
        <v>136644</v>
      </c>
      <c r="N129" s="33" t="s">
        <v>194</v>
      </c>
      <c r="O129" s="33" t="s">
        <v>28</v>
      </c>
    </row>
    <row r="130" ht="15.75" customHeight="1" spans="1:15">
      <c r="A130" s="27" t="s">
        <v>56</v>
      </c>
      <c r="B130" s="27" t="s">
        <v>29</v>
      </c>
      <c r="C130" s="39" t="s">
        <v>327</v>
      </c>
      <c r="D130" s="42">
        <v>45418</v>
      </c>
      <c r="E130" s="29" t="str">
        <f t="shared" si="8"/>
        <v>May</v>
      </c>
      <c r="F130" s="18">
        <f t="shared" si="9"/>
        <v>2024</v>
      </c>
      <c r="G130" s="40">
        <v>45422</v>
      </c>
      <c r="H130" s="41">
        <v>123</v>
      </c>
      <c r="I130" s="44">
        <v>377700</v>
      </c>
      <c r="J130" s="45">
        <v>127280</v>
      </c>
      <c r="K130" s="46">
        <v>6364</v>
      </c>
      <c r="L130" s="46">
        <v>3000</v>
      </c>
      <c r="M130" s="46">
        <v>136644</v>
      </c>
      <c r="N130" s="33" t="s">
        <v>194</v>
      </c>
      <c r="O130" s="33" t="s">
        <v>28</v>
      </c>
    </row>
    <row r="131" ht="15.75" customHeight="1" spans="1:15">
      <c r="A131" s="27" t="s">
        <v>56</v>
      </c>
      <c r="B131" s="27" t="s">
        <v>29</v>
      </c>
      <c r="C131" s="39" t="s">
        <v>328</v>
      </c>
      <c r="D131" s="42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40">
        <v>45422</v>
      </c>
      <c r="H131" s="41">
        <v>123</v>
      </c>
      <c r="I131" s="44">
        <v>377700</v>
      </c>
      <c r="J131" s="45">
        <v>127280</v>
      </c>
      <c r="K131" s="46">
        <v>6364</v>
      </c>
      <c r="L131" s="46">
        <v>3000</v>
      </c>
      <c r="M131" s="46">
        <v>136644</v>
      </c>
      <c r="N131" s="33" t="s">
        <v>194</v>
      </c>
      <c r="O131" s="33" t="s">
        <v>28</v>
      </c>
    </row>
    <row r="132" ht="15.75" customHeight="1" spans="1:15">
      <c r="A132" s="27" t="s">
        <v>56</v>
      </c>
      <c r="B132" s="27" t="s">
        <v>29</v>
      </c>
      <c r="C132" s="39" t="s">
        <v>329</v>
      </c>
      <c r="D132" s="42">
        <v>45479</v>
      </c>
      <c r="E132" s="29" t="str">
        <f t="shared" si="12"/>
        <v>July</v>
      </c>
      <c r="F132" s="18">
        <f t="shared" si="13"/>
        <v>2024</v>
      </c>
      <c r="G132" s="40">
        <v>45422</v>
      </c>
      <c r="H132" s="41">
        <v>121</v>
      </c>
      <c r="I132" s="44">
        <v>377700</v>
      </c>
      <c r="J132" s="45">
        <v>125210</v>
      </c>
      <c r="K132" s="46">
        <v>6261</v>
      </c>
      <c r="L132" s="46">
        <v>3000</v>
      </c>
      <c r="M132" s="46">
        <v>134471</v>
      </c>
      <c r="N132" s="33" t="s">
        <v>194</v>
      </c>
      <c r="O132" s="33" t="s">
        <v>28</v>
      </c>
    </row>
    <row r="133" ht="15.75" customHeight="1" spans="1:15">
      <c r="A133" s="27" t="s">
        <v>56</v>
      </c>
      <c r="B133" s="27" t="s">
        <v>29</v>
      </c>
      <c r="C133" s="39" t="s">
        <v>330</v>
      </c>
      <c r="D133" s="42">
        <v>45479</v>
      </c>
      <c r="E133" s="29" t="str">
        <f t="shared" si="12"/>
        <v>July</v>
      </c>
      <c r="F133" s="18">
        <f t="shared" si="13"/>
        <v>2024</v>
      </c>
      <c r="G133" s="40">
        <v>45422</v>
      </c>
      <c r="H133" s="41">
        <v>121</v>
      </c>
      <c r="I133" s="44">
        <v>377700</v>
      </c>
      <c r="J133" s="45">
        <v>125210</v>
      </c>
      <c r="K133" s="46">
        <v>6261</v>
      </c>
      <c r="L133" s="46">
        <v>3000</v>
      </c>
      <c r="M133" s="46">
        <v>134471</v>
      </c>
      <c r="N133" s="33" t="s">
        <v>194</v>
      </c>
      <c r="O133" s="33" t="s">
        <v>28</v>
      </c>
    </row>
    <row r="134" ht="15.75" customHeight="1" spans="1:15">
      <c r="A134" s="27" t="s">
        <v>56</v>
      </c>
      <c r="B134" s="27" t="s">
        <v>29</v>
      </c>
      <c r="C134" s="39" t="s">
        <v>331</v>
      </c>
      <c r="D134" s="42">
        <v>45571</v>
      </c>
      <c r="E134" s="29" t="str">
        <f t="shared" si="12"/>
        <v>October</v>
      </c>
      <c r="F134" s="18">
        <f t="shared" si="13"/>
        <v>2024</v>
      </c>
      <c r="G134" s="40">
        <v>45422</v>
      </c>
      <c r="H134" s="41">
        <v>118</v>
      </c>
      <c r="I134" s="44">
        <v>377700</v>
      </c>
      <c r="J134" s="45">
        <v>122106</v>
      </c>
      <c r="K134" s="46">
        <v>6105</v>
      </c>
      <c r="L134" s="46">
        <v>3000</v>
      </c>
      <c r="M134" s="46">
        <v>131211</v>
      </c>
      <c r="N134" s="33" t="s">
        <v>194</v>
      </c>
      <c r="O134" s="33" t="s">
        <v>28</v>
      </c>
    </row>
    <row r="135" ht="15.75" customHeight="1" spans="1:15">
      <c r="A135" s="27" t="s">
        <v>56</v>
      </c>
      <c r="B135" s="27" t="s">
        <v>29</v>
      </c>
      <c r="C135" s="39" t="s">
        <v>332</v>
      </c>
      <c r="D135" s="42">
        <v>45571</v>
      </c>
      <c r="E135" s="29" t="str">
        <f t="shared" si="12"/>
        <v>October</v>
      </c>
      <c r="F135" s="18">
        <f t="shared" si="13"/>
        <v>2024</v>
      </c>
      <c r="G135" s="40">
        <v>45422</v>
      </c>
      <c r="H135" s="41">
        <v>118</v>
      </c>
      <c r="I135" s="44">
        <v>377700</v>
      </c>
      <c r="J135" s="45">
        <v>122106</v>
      </c>
      <c r="K135" s="46">
        <v>6105</v>
      </c>
      <c r="L135" s="46">
        <v>3000</v>
      </c>
      <c r="M135" s="46">
        <v>131211</v>
      </c>
      <c r="N135" s="33" t="s">
        <v>194</v>
      </c>
      <c r="O135" s="33" t="s">
        <v>28</v>
      </c>
    </row>
    <row r="136" ht="15.75" customHeight="1" spans="1:15">
      <c r="A136" s="27" t="s">
        <v>56</v>
      </c>
      <c r="B136" s="27" t="s">
        <v>29</v>
      </c>
      <c r="C136" s="39" t="s">
        <v>333</v>
      </c>
      <c r="D136" s="42">
        <v>45571</v>
      </c>
      <c r="E136" s="29" t="str">
        <f t="shared" si="12"/>
        <v>October</v>
      </c>
      <c r="F136" s="18">
        <f t="shared" si="13"/>
        <v>2024</v>
      </c>
      <c r="G136" s="40">
        <v>45422</v>
      </c>
      <c r="H136" s="41">
        <v>118</v>
      </c>
      <c r="I136" s="44">
        <v>377700</v>
      </c>
      <c r="J136" s="45">
        <v>122106</v>
      </c>
      <c r="K136" s="46">
        <v>6105</v>
      </c>
      <c r="L136" s="46">
        <v>3000</v>
      </c>
      <c r="M136" s="46">
        <v>131211</v>
      </c>
      <c r="N136" s="33" t="s">
        <v>194</v>
      </c>
      <c r="O136" s="33" t="s">
        <v>28</v>
      </c>
    </row>
    <row r="137" ht="15.75" customHeight="1" spans="1:15">
      <c r="A137" s="27" t="s">
        <v>56</v>
      </c>
      <c r="B137" s="27" t="s">
        <v>29</v>
      </c>
      <c r="C137" s="39" t="s">
        <v>334</v>
      </c>
      <c r="D137" s="42">
        <v>45462</v>
      </c>
      <c r="E137" s="29" t="str">
        <f t="shared" si="12"/>
        <v>June</v>
      </c>
      <c r="F137" s="18">
        <f t="shared" si="13"/>
        <v>2024</v>
      </c>
      <c r="G137" s="40">
        <v>45422</v>
      </c>
      <c r="H137" s="41">
        <v>109</v>
      </c>
      <c r="I137" s="44">
        <v>377700</v>
      </c>
      <c r="J137" s="45">
        <v>112793</v>
      </c>
      <c r="K137" s="46">
        <v>5640</v>
      </c>
      <c r="L137" s="46">
        <v>3000</v>
      </c>
      <c r="M137" s="46">
        <v>121432</v>
      </c>
      <c r="N137" s="33" t="s">
        <v>194</v>
      </c>
      <c r="O137" s="33" t="s">
        <v>28</v>
      </c>
    </row>
    <row r="138" ht="15.75" customHeight="1" spans="1:15">
      <c r="A138" s="27" t="s">
        <v>56</v>
      </c>
      <c r="B138" s="27" t="s">
        <v>29</v>
      </c>
      <c r="C138" s="39" t="s">
        <v>335</v>
      </c>
      <c r="D138" s="42">
        <v>45462</v>
      </c>
      <c r="E138" s="29" t="str">
        <f t="shared" si="12"/>
        <v>June</v>
      </c>
      <c r="F138" s="18">
        <f t="shared" si="13"/>
        <v>2024</v>
      </c>
      <c r="G138" s="40">
        <v>45422</v>
      </c>
      <c r="H138" s="41">
        <v>109</v>
      </c>
      <c r="I138" s="44">
        <v>377700</v>
      </c>
      <c r="J138" s="45">
        <v>112793</v>
      </c>
      <c r="K138" s="46">
        <v>5640</v>
      </c>
      <c r="L138" s="46">
        <v>3000</v>
      </c>
      <c r="M138" s="46">
        <v>121432</v>
      </c>
      <c r="N138" s="33" t="s">
        <v>194</v>
      </c>
      <c r="O138" s="33" t="s">
        <v>28</v>
      </c>
    </row>
    <row r="139" ht="15.75" customHeight="1" spans="1:15">
      <c r="A139" s="27" t="s">
        <v>56</v>
      </c>
      <c r="B139" s="27" t="s">
        <v>29</v>
      </c>
      <c r="C139" s="39" t="s">
        <v>336</v>
      </c>
      <c r="D139" s="42">
        <v>45462</v>
      </c>
      <c r="E139" s="29" t="str">
        <f t="shared" si="12"/>
        <v>June</v>
      </c>
      <c r="F139" s="18">
        <f t="shared" si="13"/>
        <v>2024</v>
      </c>
      <c r="G139" s="40">
        <v>45422</v>
      </c>
      <c r="H139" s="41">
        <v>109</v>
      </c>
      <c r="I139" s="44">
        <v>377700</v>
      </c>
      <c r="J139" s="45">
        <v>112793</v>
      </c>
      <c r="K139" s="46">
        <v>5640</v>
      </c>
      <c r="L139" s="46">
        <v>3000</v>
      </c>
      <c r="M139" s="46">
        <v>121432</v>
      </c>
      <c r="N139" s="33" t="s">
        <v>194</v>
      </c>
      <c r="O139" s="33" t="s">
        <v>28</v>
      </c>
    </row>
    <row r="140" ht="15.75" customHeight="1" spans="1:15">
      <c r="A140" s="27" t="s">
        <v>56</v>
      </c>
      <c r="B140" s="27" t="s">
        <v>29</v>
      </c>
      <c r="C140" s="39" t="s">
        <v>337</v>
      </c>
      <c r="D140" s="42">
        <v>45462</v>
      </c>
      <c r="E140" s="29" t="str">
        <f t="shared" si="12"/>
        <v>June</v>
      </c>
      <c r="F140" s="18">
        <f t="shared" si="13"/>
        <v>2024</v>
      </c>
      <c r="G140" s="40">
        <v>45422</v>
      </c>
      <c r="H140" s="41">
        <v>109</v>
      </c>
      <c r="I140" s="44">
        <v>377700</v>
      </c>
      <c r="J140" s="45">
        <v>112793</v>
      </c>
      <c r="K140" s="46">
        <v>5640</v>
      </c>
      <c r="L140" s="46">
        <v>3000</v>
      </c>
      <c r="M140" s="46">
        <v>121432</v>
      </c>
      <c r="N140" s="33" t="s">
        <v>194</v>
      </c>
      <c r="O140" s="33" t="s">
        <v>28</v>
      </c>
    </row>
    <row r="141" ht="15.75" customHeight="1" spans="1:15">
      <c r="A141" s="27" t="s">
        <v>56</v>
      </c>
      <c r="B141" s="27" t="s">
        <v>29</v>
      </c>
      <c r="C141" s="39" t="s">
        <v>338</v>
      </c>
      <c r="D141" s="42">
        <v>45462</v>
      </c>
      <c r="E141" s="29" t="str">
        <f t="shared" si="12"/>
        <v>June</v>
      </c>
      <c r="F141" s="18">
        <f t="shared" si="13"/>
        <v>2024</v>
      </c>
      <c r="G141" s="40">
        <v>45422</v>
      </c>
      <c r="H141" s="41">
        <v>109</v>
      </c>
      <c r="I141" s="44">
        <v>377700</v>
      </c>
      <c r="J141" s="45">
        <v>112793</v>
      </c>
      <c r="K141" s="46">
        <v>5640</v>
      </c>
      <c r="L141" s="46">
        <v>3000</v>
      </c>
      <c r="M141" s="46">
        <v>121432</v>
      </c>
      <c r="N141" s="33" t="s">
        <v>194</v>
      </c>
      <c r="O141" s="33" t="s">
        <v>28</v>
      </c>
    </row>
    <row r="142" ht="15.75" customHeight="1" spans="1:15">
      <c r="A142" s="27" t="s">
        <v>56</v>
      </c>
      <c r="B142" s="27" t="s">
        <v>29</v>
      </c>
      <c r="C142" s="39" t="s">
        <v>339</v>
      </c>
      <c r="D142" s="42">
        <v>45462</v>
      </c>
      <c r="E142" s="29" t="str">
        <f t="shared" si="12"/>
        <v>June</v>
      </c>
      <c r="F142" s="18">
        <f t="shared" si="13"/>
        <v>2024</v>
      </c>
      <c r="G142" s="40">
        <v>45422</v>
      </c>
      <c r="H142" s="41">
        <v>109</v>
      </c>
      <c r="I142" s="44">
        <v>377700</v>
      </c>
      <c r="J142" s="45">
        <v>112793</v>
      </c>
      <c r="K142" s="46">
        <v>5640</v>
      </c>
      <c r="L142" s="46">
        <v>3000</v>
      </c>
      <c r="M142" s="46">
        <v>121432</v>
      </c>
      <c r="N142" s="33" t="s">
        <v>194</v>
      </c>
      <c r="O142" s="33" t="s">
        <v>28</v>
      </c>
    </row>
    <row r="143" ht="15.75" customHeight="1" spans="1:15">
      <c r="A143" s="27" t="s">
        <v>56</v>
      </c>
      <c r="B143" s="27" t="s">
        <v>29</v>
      </c>
      <c r="C143" s="39" t="s">
        <v>340</v>
      </c>
      <c r="D143" s="42">
        <v>45462</v>
      </c>
      <c r="E143" s="29" t="str">
        <f t="shared" si="12"/>
        <v>June</v>
      </c>
      <c r="F143" s="18">
        <f t="shared" si="13"/>
        <v>2024</v>
      </c>
      <c r="G143" s="40">
        <v>45422</v>
      </c>
      <c r="H143" s="41">
        <v>109</v>
      </c>
      <c r="I143" s="44">
        <v>377700</v>
      </c>
      <c r="J143" s="45">
        <v>112793</v>
      </c>
      <c r="K143" s="46">
        <v>5640</v>
      </c>
      <c r="L143" s="46">
        <v>6000</v>
      </c>
      <c r="M143" s="46">
        <v>124432</v>
      </c>
      <c r="N143" s="33" t="s">
        <v>194</v>
      </c>
      <c r="O143" s="33" t="s">
        <v>28</v>
      </c>
    </row>
    <row r="144" ht="15.75" customHeight="1" spans="1:15">
      <c r="A144" s="27" t="s">
        <v>56</v>
      </c>
      <c r="B144" s="27" t="s">
        <v>29</v>
      </c>
      <c r="C144" s="39" t="s">
        <v>341</v>
      </c>
      <c r="D144" s="42">
        <v>45462</v>
      </c>
      <c r="E144" s="29" t="str">
        <f t="shared" si="12"/>
        <v>June</v>
      </c>
      <c r="F144" s="18">
        <f t="shared" si="13"/>
        <v>2024</v>
      </c>
      <c r="G144" s="40">
        <v>45422</v>
      </c>
      <c r="H144" s="41">
        <v>109</v>
      </c>
      <c r="I144" s="44">
        <v>377700</v>
      </c>
      <c r="J144" s="45">
        <v>112793</v>
      </c>
      <c r="K144" s="46">
        <v>5640</v>
      </c>
      <c r="L144" s="46">
        <v>6000</v>
      </c>
      <c r="M144" s="46">
        <v>124432</v>
      </c>
      <c r="N144" s="33" t="s">
        <v>194</v>
      </c>
      <c r="O144" s="33" t="s">
        <v>28</v>
      </c>
    </row>
    <row r="145" ht="15.75" customHeight="1" spans="1:15">
      <c r="A145" s="27" t="s">
        <v>56</v>
      </c>
      <c r="B145" s="27" t="s">
        <v>29</v>
      </c>
      <c r="C145" s="39" t="s">
        <v>342</v>
      </c>
      <c r="D145" s="42">
        <v>45462</v>
      </c>
      <c r="E145" s="29" t="str">
        <f t="shared" si="12"/>
        <v>June</v>
      </c>
      <c r="F145" s="18">
        <f t="shared" si="13"/>
        <v>2024</v>
      </c>
      <c r="G145" s="40">
        <v>45422</v>
      </c>
      <c r="H145" s="41">
        <v>109</v>
      </c>
      <c r="I145" s="44">
        <v>377700</v>
      </c>
      <c r="J145" s="45">
        <v>112793</v>
      </c>
      <c r="K145" s="46">
        <v>5640</v>
      </c>
      <c r="L145" s="46">
        <v>3000</v>
      </c>
      <c r="M145" s="46">
        <v>121432</v>
      </c>
      <c r="N145" s="33" t="s">
        <v>194</v>
      </c>
      <c r="O145" s="33" t="s">
        <v>28</v>
      </c>
    </row>
    <row r="146" ht="15.75" customHeight="1" spans="1:15">
      <c r="A146" s="27" t="s">
        <v>56</v>
      </c>
      <c r="B146" s="27" t="s">
        <v>29</v>
      </c>
      <c r="C146" s="39" t="s">
        <v>343</v>
      </c>
      <c r="D146" s="42">
        <v>45462</v>
      </c>
      <c r="E146" s="29" t="str">
        <f t="shared" si="12"/>
        <v>June</v>
      </c>
      <c r="F146" s="18">
        <f t="shared" si="13"/>
        <v>2024</v>
      </c>
      <c r="G146" s="40">
        <v>45422</v>
      </c>
      <c r="H146" s="41">
        <v>109</v>
      </c>
      <c r="I146" s="44">
        <v>377700</v>
      </c>
      <c r="J146" s="45">
        <v>112793</v>
      </c>
      <c r="K146" s="46">
        <v>5640</v>
      </c>
      <c r="L146" s="46">
        <v>3000</v>
      </c>
      <c r="M146" s="46">
        <v>121432</v>
      </c>
      <c r="N146" s="33" t="s">
        <v>194</v>
      </c>
      <c r="O146" s="33" t="s">
        <v>28</v>
      </c>
    </row>
    <row r="147" ht="15.75" customHeight="1" spans="1:15">
      <c r="A147" s="27" t="s">
        <v>56</v>
      </c>
      <c r="B147" s="27" t="s">
        <v>29</v>
      </c>
      <c r="C147" s="39" t="s">
        <v>344</v>
      </c>
      <c r="D147" s="42">
        <v>45462</v>
      </c>
      <c r="E147" s="29" t="str">
        <f t="shared" si="12"/>
        <v>June</v>
      </c>
      <c r="F147" s="18">
        <f t="shared" si="13"/>
        <v>2024</v>
      </c>
      <c r="G147" s="40">
        <v>45422</v>
      </c>
      <c r="H147" s="41">
        <v>109</v>
      </c>
      <c r="I147" s="44">
        <v>377700</v>
      </c>
      <c r="J147" s="45">
        <v>112793</v>
      </c>
      <c r="K147" s="46">
        <v>5640</v>
      </c>
      <c r="L147" s="46">
        <v>3000</v>
      </c>
      <c r="M147" s="46">
        <v>121432</v>
      </c>
      <c r="N147" s="33" t="s">
        <v>194</v>
      </c>
      <c r="O147" s="33" t="s">
        <v>28</v>
      </c>
    </row>
    <row r="148" ht="15.75" customHeight="1" spans="1:15">
      <c r="A148" s="27" t="s">
        <v>56</v>
      </c>
      <c r="B148" s="27" t="s">
        <v>29</v>
      </c>
      <c r="C148" s="39" t="s">
        <v>345</v>
      </c>
      <c r="D148" s="42">
        <v>45462</v>
      </c>
      <c r="E148" s="29" t="str">
        <f t="shared" si="12"/>
        <v>June</v>
      </c>
      <c r="F148" s="18">
        <f t="shared" si="13"/>
        <v>2024</v>
      </c>
      <c r="G148" s="40">
        <v>45422</v>
      </c>
      <c r="H148" s="41">
        <v>109</v>
      </c>
      <c r="I148" s="44">
        <v>377700</v>
      </c>
      <c r="J148" s="45">
        <v>112793</v>
      </c>
      <c r="K148" s="46">
        <v>5640</v>
      </c>
      <c r="L148" s="46">
        <v>3000</v>
      </c>
      <c r="M148" s="46">
        <v>121432</v>
      </c>
      <c r="N148" s="33" t="s">
        <v>194</v>
      </c>
      <c r="O148" s="33" t="s">
        <v>28</v>
      </c>
    </row>
    <row r="149" ht="15.75" customHeight="1" spans="1:15">
      <c r="A149" s="27" t="s">
        <v>56</v>
      </c>
      <c r="B149" s="27" t="s">
        <v>29</v>
      </c>
      <c r="C149" s="39" t="s">
        <v>346</v>
      </c>
      <c r="D149" s="42">
        <v>45462</v>
      </c>
      <c r="E149" s="29" t="str">
        <f t="shared" si="12"/>
        <v>June</v>
      </c>
      <c r="F149" s="18">
        <f t="shared" si="13"/>
        <v>2024</v>
      </c>
      <c r="G149" s="40">
        <v>45422</v>
      </c>
      <c r="H149" s="41">
        <v>109</v>
      </c>
      <c r="I149" s="44">
        <v>377700</v>
      </c>
      <c r="J149" s="45">
        <v>112793</v>
      </c>
      <c r="K149" s="46">
        <v>5640</v>
      </c>
      <c r="L149" s="46">
        <v>3000</v>
      </c>
      <c r="M149" s="46">
        <v>121432</v>
      </c>
      <c r="N149" s="33" t="s">
        <v>194</v>
      </c>
      <c r="O149" s="33" t="s">
        <v>28</v>
      </c>
    </row>
    <row r="150" ht="15.75" customHeight="1" spans="1:15">
      <c r="A150" s="27" t="s">
        <v>56</v>
      </c>
      <c r="B150" s="27" t="s">
        <v>29</v>
      </c>
      <c r="C150" s="39" t="s">
        <v>347</v>
      </c>
      <c r="D150" s="42">
        <v>45462</v>
      </c>
      <c r="E150" s="29" t="str">
        <f t="shared" si="12"/>
        <v>June</v>
      </c>
      <c r="F150" s="18">
        <f t="shared" si="13"/>
        <v>2024</v>
      </c>
      <c r="G150" s="40">
        <v>45422</v>
      </c>
      <c r="H150" s="41">
        <v>109</v>
      </c>
      <c r="I150" s="44">
        <v>377700</v>
      </c>
      <c r="J150" s="45">
        <v>112793</v>
      </c>
      <c r="K150" s="46">
        <v>5640</v>
      </c>
      <c r="L150" s="46">
        <v>3000</v>
      </c>
      <c r="M150" s="46">
        <v>121432</v>
      </c>
      <c r="N150" s="33" t="s">
        <v>194</v>
      </c>
      <c r="O150" s="33" t="s">
        <v>28</v>
      </c>
    </row>
    <row r="151" ht="15.75" customHeight="1" spans="1:15">
      <c r="A151" s="27" t="s">
        <v>56</v>
      </c>
      <c r="B151" s="27" t="s">
        <v>29</v>
      </c>
      <c r="C151" s="39" t="s">
        <v>348</v>
      </c>
      <c r="D151" s="42">
        <v>45462</v>
      </c>
      <c r="E151" s="29" t="str">
        <f t="shared" si="12"/>
        <v>June</v>
      </c>
      <c r="F151" s="18">
        <f t="shared" si="13"/>
        <v>2024</v>
      </c>
      <c r="G151" s="40">
        <v>45422</v>
      </c>
      <c r="H151" s="41">
        <v>109</v>
      </c>
      <c r="I151" s="44">
        <v>377700</v>
      </c>
      <c r="J151" s="45">
        <v>112793</v>
      </c>
      <c r="K151" s="46">
        <v>5640</v>
      </c>
      <c r="L151" s="46">
        <v>3000</v>
      </c>
      <c r="M151" s="46">
        <v>121432</v>
      </c>
      <c r="N151" s="33" t="s">
        <v>194</v>
      </c>
      <c r="O151" s="33" t="s">
        <v>28</v>
      </c>
    </row>
    <row r="152" ht="15.75" customHeight="1" spans="1:15">
      <c r="A152" s="27" t="s">
        <v>56</v>
      </c>
      <c r="B152" s="27" t="s">
        <v>29</v>
      </c>
      <c r="C152" s="39" t="s">
        <v>349</v>
      </c>
      <c r="D152" s="42">
        <v>45463</v>
      </c>
      <c r="E152" s="29" t="str">
        <f t="shared" si="12"/>
        <v>June</v>
      </c>
      <c r="F152" s="18">
        <f t="shared" si="13"/>
        <v>2024</v>
      </c>
      <c r="G152" s="40">
        <v>45422</v>
      </c>
      <c r="H152" s="41">
        <v>108</v>
      </c>
      <c r="I152" s="44">
        <v>377700</v>
      </c>
      <c r="J152" s="45">
        <v>111758</v>
      </c>
      <c r="K152" s="46">
        <v>5588</v>
      </c>
      <c r="L152" s="46">
        <v>3000</v>
      </c>
      <c r="M152" s="46">
        <v>120346</v>
      </c>
      <c r="N152" s="33" t="s">
        <v>194</v>
      </c>
      <c r="O152" s="33" t="s">
        <v>28</v>
      </c>
    </row>
    <row r="153" ht="15.75" customHeight="1" spans="1:15">
      <c r="A153" s="27" t="s">
        <v>56</v>
      </c>
      <c r="B153" s="27" t="s">
        <v>29</v>
      </c>
      <c r="C153" s="39" t="s">
        <v>350</v>
      </c>
      <c r="D153" s="42">
        <v>45467</v>
      </c>
      <c r="E153" s="29" t="str">
        <f t="shared" si="12"/>
        <v>June</v>
      </c>
      <c r="F153" s="18">
        <f t="shared" si="13"/>
        <v>2024</v>
      </c>
      <c r="G153" s="40">
        <v>45422</v>
      </c>
      <c r="H153" s="41">
        <v>104</v>
      </c>
      <c r="I153" s="44">
        <v>377700</v>
      </c>
      <c r="J153" s="45">
        <v>107619</v>
      </c>
      <c r="K153" s="46">
        <v>5381</v>
      </c>
      <c r="L153" s="46">
        <v>3000</v>
      </c>
      <c r="M153" s="46">
        <v>116000</v>
      </c>
      <c r="N153" s="33" t="s">
        <v>194</v>
      </c>
      <c r="O153" s="33" t="s">
        <v>28</v>
      </c>
    </row>
    <row r="154" ht="15.75" customHeight="1" spans="1:15">
      <c r="A154" s="27" t="s">
        <v>56</v>
      </c>
      <c r="B154" s="27" t="s">
        <v>29</v>
      </c>
      <c r="C154" s="39" t="s">
        <v>351</v>
      </c>
      <c r="D154" s="42">
        <v>45469</v>
      </c>
      <c r="E154" s="29" t="str">
        <f t="shared" si="12"/>
        <v>June</v>
      </c>
      <c r="F154" s="18">
        <f t="shared" si="13"/>
        <v>2024</v>
      </c>
      <c r="G154" s="40">
        <v>45422</v>
      </c>
      <c r="H154" s="41">
        <v>102</v>
      </c>
      <c r="I154" s="44">
        <v>377700</v>
      </c>
      <c r="J154" s="45">
        <v>105549</v>
      </c>
      <c r="K154" s="46">
        <v>5277</v>
      </c>
      <c r="L154" s="46">
        <v>6000</v>
      </c>
      <c r="M154" s="46">
        <v>116826</v>
      </c>
      <c r="N154" s="33" t="s">
        <v>194</v>
      </c>
      <c r="O154" s="33" t="s">
        <v>28</v>
      </c>
    </row>
    <row r="155" ht="15.75" customHeight="1" spans="1:15">
      <c r="A155" s="27" t="s">
        <v>56</v>
      </c>
      <c r="B155" s="27" t="s">
        <v>29</v>
      </c>
      <c r="C155" s="39" t="s">
        <v>352</v>
      </c>
      <c r="D155" s="42">
        <v>45469</v>
      </c>
      <c r="E155" s="29" t="str">
        <f t="shared" si="12"/>
        <v>June</v>
      </c>
      <c r="F155" s="18">
        <f t="shared" si="13"/>
        <v>2024</v>
      </c>
      <c r="G155" s="40">
        <v>45422</v>
      </c>
      <c r="H155" s="41">
        <v>102</v>
      </c>
      <c r="I155" s="44">
        <v>377700</v>
      </c>
      <c r="J155" s="45">
        <v>105549</v>
      </c>
      <c r="K155" s="46">
        <v>5277</v>
      </c>
      <c r="L155" s="46">
        <v>3000</v>
      </c>
      <c r="M155" s="46">
        <v>113826</v>
      </c>
      <c r="N155" s="33" t="s">
        <v>194</v>
      </c>
      <c r="O155" s="33" t="s">
        <v>28</v>
      </c>
    </row>
    <row r="156" ht="15.75" customHeight="1" spans="1:15">
      <c r="A156" s="27" t="s">
        <v>56</v>
      </c>
      <c r="B156" s="27" t="s">
        <v>29</v>
      </c>
      <c r="C156" s="39" t="s">
        <v>353</v>
      </c>
      <c r="D156" s="42">
        <v>45469</v>
      </c>
      <c r="E156" s="29" t="str">
        <f t="shared" si="12"/>
        <v>June</v>
      </c>
      <c r="F156" s="18">
        <f t="shared" si="13"/>
        <v>2024</v>
      </c>
      <c r="G156" s="40">
        <v>45422</v>
      </c>
      <c r="H156" s="41">
        <v>102</v>
      </c>
      <c r="I156" s="44">
        <v>377700</v>
      </c>
      <c r="J156" s="45">
        <v>105549</v>
      </c>
      <c r="K156" s="46">
        <v>5277</v>
      </c>
      <c r="L156" s="46">
        <v>3000</v>
      </c>
      <c r="M156" s="46">
        <v>113826</v>
      </c>
      <c r="N156" s="33" t="s">
        <v>194</v>
      </c>
      <c r="O156" s="33" t="s">
        <v>28</v>
      </c>
    </row>
    <row r="157" ht="15.75" customHeight="1" spans="1:15">
      <c r="A157" s="27" t="s">
        <v>56</v>
      </c>
      <c r="B157" s="27" t="s">
        <v>29</v>
      </c>
      <c r="C157" s="39" t="s">
        <v>354</v>
      </c>
      <c r="D157" s="42">
        <v>45469</v>
      </c>
      <c r="E157" s="29" t="str">
        <f t="shared" si="12"/>
        <v>June</v>
      </c>
      <c r="F157" s="18">
        <f t="shared" si="13"/>
        <v>2024</v>
      </c>
      <c r="G157" s="40">
        <v>45422</v>
      </c>
      <c r="H157" s="41">
        <v>102</v>
      </c>
      <c r="I157" s="44">
        <v>377700</v>
      </c>
      <c r="J157" s="45">
        <v>105549</v>
      </c>
      <c r="K157" s="46">
        <v>5277</v>
      </c>
      <c r="L157" s="46">
        <v>3000</v>
      </c>
      <c r="M157" s="46">
        <v>113826</v>
      </c>
      <c r="N157" s="33" t="s">
        <v>194</v>
      </c>
      <c r="O157" s="33" t="s">
        <v>28</v>
      </c>
    </row>
    <row r="158" ht="15.75" customHeight="1" spans="1:15">
      <c r="A158" s="27" t="s">
        <v>56</v>
      </c>
      <c r="B158" s="27" t="s">
        <v>29</v>
      </c>
      <c r="C158" s="39" t="s">
        <v>355</v>
      </c>
      <c r="D158" s="42">
        <v>45469</v>
      </c>
      <c r="E158" s="29" t="str">
        <f t="shared" si="12"/>
        <v>June</v>
      </c>
      <c r="F158" s="18">
        <f t="shared" si="13"/>
        <v>2024</v>
      </c>
      <c r="G158" s="40">
        <v>45422</v>
      </c>
      <c r="H158" s="41">
        <v>102</v>
      </c>
      <c r="I158" s="44">
        <v>377700</v>
      </c>
      <c r="J158" s="45">
        <v>105549</v>
      </c>
      <c r="K158" s="46">
        <v>5277</v>
      </c>
      <c r="L158" s="46">
        <v>3000</v>
      </c>
      <c r="M158" s="46">
        <v>113826</v>
      </c>
      <c r="N158" s="33" t="s">
        <v>194</v>
      </c>
      <c r="O158" s="33" t="s">
        <v>28</v>
      </c>
    </row>
    <row r="159" ht="15.75" customHeight="1" spans="1:15">
      <c r="A159" s="27" t="s">
        <v>56</v>
      </c>
      <c r="B159" s="27" t="s">
        <v>29</v>
      </c>
      <c r="C159" s="39" t="s">
        <v>356</v>
      </c>
      <c r="D159" s="42">
        <v>45469</v>
      </c>
      <c r="E159" s="29" t="str">
        <f t="shared" si="12"/>
        <v>June</v>
      </c>
      <c r="F159" s="18">
        <f t="shared" si="13"/>
        <v>2024</v>
      </c>
      <c r="G159" s="40">
        <v>45422</v>
      </c>
      <c r="H159" s="41">
        <v>102</v>
      </c>
      <c r="I159" s="44">
        <v>377700</v>
      </c>
      <c r="J159" s="45">
        <v>105549</v>
      </c>
      <c r="K159" s="46">
        <v>5277</v>
      </c>
      <c r="L159" s="46">
        <v>3000</v>
      </c>
      <c r="M159" s="46">
        <v>113826</v>
      </c>
      <c r="N159" s="33" t="s">
        <v>194</v>
      </c>
      <c r="O159" s="33" t="s">
        <v>28</v>
      </c>
    </row>
    <row r="160" ht="15.75" customHeight="1" spans="1:15">
      <c r="A160" s="27" t="s">
        <v>56</v>
      </c>
      <c r="B160" s="27" t="s">
        <v>29</v>
      </c>
      <c r="C160" s="39" t="s">
        <v>357</v>
      </c>
      <c r="D160" s="42">
        <v>45469</v>
      </c>
      <c r="E160" s="29" t="str">
        <f t="shared" si="12"/>
        <v>June</v>
      </c>
      <c r="F160" s="18">
        <f t="shared" si="13"/>
        <v>2024</v>
      </c>
      <c r="G160" s="40">
        <v>45422</v>
      </c>
      <c r="H160" s="41">
        <v>102</v>
      </c>
      <c r="I160" s="44">
        <v>377700</v>
      </c>
      <c r="J160" s="45">
        <v>105549</v>
      </c>
      <c r="K160" s="46">
        <v>5277</v>
      </c>
      <c r="L160" s="46">
        <v>3000</v>
      </c>
      <c r="M160" s="46">
        <v>113826</v>
      </c>
      <c r="N160" s="33" t="s">
        <v>194</v>
      </c>
      <c r="O160" s="33" t="s">
        <v>28</v>
      </c>
    </row>
    <row r="161" ht="15.75" customHeight="1" spans="1:15">
      <c r="A161" s="27" t="s">
        <v>56</v>
      </c>
      <c r="B161" s="27" t="s">
        <v>29</v>
      </c>
      <c r="C161" s="39" t="s">
        <v>358</v>
      </c>
      <c r="D161" s="42">
        <v>45469</v>
      </c>
      <c r="E161" s="29" t="str">
        <f t="shared" si="12"/>
        <v>June</v>
      </c>
      <c r="F161" s="18">
        <f t="shared" si="13"/>
        <v>2024</v>
      </c>
      <c r="G161" s="40">
        <v>45422</v>
      </c>
      <c r="H161" s="41">
        <v>102</v>
      </c>
      <c r="I161" s="44">
        <v>377700</v>
      </c>
      <c r="J161" s="45">
        <v>105549</v>
      </c>
      <c r="K161" s="46">
        <v>5277</v>
      </c>
      <c r="L161" s="46">
        <v>3000</v>
      </c>
      <c r="M161" s="46">
        <v>113826</v>
      </c>
      <c r="N161" s="33" t="s">
        <v>194</v>
      </c>
      <c r="O161" s="33" t="s">
        <v>28</v>
      </c>
    </row>
    <row r="162" ht="15.75" customHeight="1" spans="1:15">
      <c r="A162" s="27" t="s">
        <v>56</v>
      </c>
      <c r="B162" s="27" t="s">
        <v>29</v>
      </c>
      <c r="C162" s="39" t="s">
        <v>359</v>
      </c>
      <c r="D162" s="42">
        <v>45469</v>
      </c>
      <c r="E162" s="29" t="str">
        <f t="shared" si="12"/>
        <v>June</v>
      </c>
      <c r="F162" s="18">
        <f t="shared" si="13"/>
        <v>2024</v>
      </c>
      <c r="G162" s="40">
        <v>45422</v>
      </c>
      <c r="H162" s="41">
        <v>102</v>
      </c>
      <c r="I162" s="44">
        <v>377700</v>
      </c>
      <c r="J162" s="45">
        <v>105549</v>
      </c>
      <c r="K162" s="46">
        <v>5277</v>
      </c>
      <c r="L162" s="46">
        <v>3000</v>
      </c>
      <c r="M162" s="46">
        <v>113826</v>
      </c>
      <c r="N162" s="33" t="s">
        <v>194</v>
      </c>
      <c r="O162" s="33" t="s">
        <v>28</v>
      </c>
    </row>
    <row r="163" ht="15.75" customHeight="1" spans="1:15">
      <c r="A163" s="27" t="s">
        <v>56</v>
      </c>
      <c r="B163" s="27" t="s">
        <v>29</v>
      </c>
      <c r="C163" s="39" t="s">
        <v>360</v>
      </c>
      <c r="D163" s="42">
        <v>45469</v>
      </c>
      <c r="E163" s="29" t="str">
        <f t="shared" si="12"/>
        <v>June</v>
      </c>
      <c r="F163" s="18">
        <f t="shared" si="13"/>
        <v>2024</v>
      </c>
      <c r="G163" s="40">
        <v>45422</v>
      </c>
      <c r="H163" s="41">
        <v>102</v>
      </c>
      <c r="I163" s="44">
        <v>377700</v>
      </c>
      <c r="J163" s="45">
        <v>105549</v>
      </c>
      <c r="K163" s="46">
        <v>5277</v>
      </c>
      <c r="L163" s="46">
        <v>3000</v>
      </c>
      <c r="M163" s="46">
        <v>113826</v>
      </c>
      <c r="N163" s="33" t="s">
        <v>194</v>
      </c>
      <c r="O163" s="33" t="s">
        <v>28</v>
      </c>
    </row>
    <row r="164" ht="15.75" customHeight="1" spans="1:15">
      <c r="A164" s="27" t="s">
        <v>56</v>
      </c>
      <c r="B164" s="27" t="s">
        <v>29</v>
      </c>
      <c r="C164" s="39" t="s">
        <v>361</v>
      </c>
      <c r="D164" s="42">
        <v>45469</v>
      </c>
      <c r="E164" s="29" t="str">
        <f t="shared" si="12"/>
        <v>June</v>
      </c>
      <c r="F164" s="18">
        <f t="shared" si="13"/>
        <v>2024</v>
      </c>
      <c r="G164" s="40">
        <v>45422</v>
      </c>
      <c r="H164" s="41">
        <v>102</v>
      </c>
      <c r="I164" s="44">
        <v>377700</v>
      </c>
      <c r="J164" s="45">
        <v>105549</v>
      </c>
      <c r="K164" s="46">
        <v>5277</v>
      </c>
      <c r="L164" s="46">
        <v>3000</v>
      </c>
      <c r="M164" s="46">
        <v>113826</v>
      </c>
      <c r="N164" s="33" t="s">
        <v>194</v>
      </c>
      <c r="O164" s="33" t="s">
        <v>28</v>
      </c>
    </row>
    <row r="165" ht="15.75" customHeight="1" spans="1:15">
      <c r="A165" s="27" t="s">
        <v>56</v>
      </c>
      <c r="B165" s="27" t="s">
        <v>29</v>
      </c>
      <c r="C165" s="39" t="s">
        <v>362</v>
      </c>
      <c r="D165" s="42">
        <v>45470</v>
      </c>
      <c r="E165" s="29" t="str">
        <f t="shared" si="12"/>
        <v>June</v>
      </c>
      <c r="F165" s="18">
        <f t="shared" si="13"/>
        <v>2024</v>
      </c>
      <c r="G165" s="40">
        <v>45422</v>
      </c>
      <c r="H165" s="41">
        <v>101</v>
      </c>
      <c r="I165" s="44">
        <v>377700</v>
      </c>
      <c r="J165" s="45">
        <v>104514</v>
      </c>
      <c r="K165" s="46">
        <v>5226</v>
      </c>
      <c r="L165" s="46">
        <v>3000</v>
      </c>
      <c r="M165" s="46">
        <v>112740</v>
      </c>
      <c r="N165" s="33" t="s">
        <v>194</v>
      </c>
      <c r="O165" s="33" t="s">
        <v>28</v>
      </c>
    </row>
    <row r="166" ht="15.75" customHeight="1" spans="1:15">
      <c r="A166" s="27" t="s">
        <v>56</v>
      </c>
      <c r="B166" s="27" t="s">
        <v>29</v>
      </c>
      <c r="C166" s="39" t="s">
        <v>363</v>
      </c>
      <c r="D166" s="42">
        <v>45470</v>
      </c>
      <c r="E166" s="29" t="str">
        <f t="shared" si="12"/>
        <v>June</v>
      </c>
      <c r="F166" s="18">
        <f t="shared" si="13"/>
        <v>2024</v>
      </c>
      <c r="G166" s="40">
        <v>45422</v>
      </c>
      <c r="H166" s="41">
        <v>101</v>
      </c>
      <c r="I166" s="44">
        <v>377700</v>
      </c>
      <c r="J166" s="45">
        <v>104514</v>
      </c>
      <c r="K166" s="46">
        <v>5226</v>
      </c>
      <c r="L166" s="46">
        <v>3000</v>
      </c>
      <c r="M166" s="46">
        <v>112740</v>
      </c>
      <c r="N166" s="33" t="s">
        <v>194</v>
      </c>
      <c r="O166" s="33" t="s">
        <v>28</v>
      </c>
    </row>
    <row r="167" ht="15.75" customHeight="1" spans="1:15">
      <c r="A167" s="27" t="s">
        <v>56</v>
      </c>
      <c r="B167" s="27" t="s">
        <v>29</v>
      </c>
      <c r="C167" s="39" t="s">
        <v>364</v>
      </c>
      <c r="D167" s="42">
        <v>45471</v>
      </c>
      <c r="E167" s="29" t="str">
        <f t="shared" si="12"/>
        <v>June</v>
      </c>
      <c r="F167" s="18">
        <f t="shared" si="13"/>
        <v>2024</v>
      </c>
      <c r="G167" s="40">
        <v>45422</v>
      </c>
      <c r="H167" s="41">
        <v>100</v>
      </c>
      <c r="I167" s="44">
        <v>377700</v>
      </c>
      <c r="J167" s="45">
        <v>103479</v>
      </c>
      <c r="K167" s="46">
        <v>5174</v>
      </c>
      <c r="L167" s="46">
        <v>3000</v>
      </c>
      <c r="M167" s="46">
        <v>111653</v>
      </c>
      <c r="N167" s="33" t="s">
        <v>194</v>
      </c>
      <c r="O167" s="33" t="s">
        <v>28</v>
      </c>
    </row>
    <row r="168" ht="15.75" customHeight="1" spans="1:15">
      <c r="A168" s="27" t="s">
        <v>56</v>
      </c>
      <c r="B168" s="27" t="s">
        <v>29</v>
      </c>
      <c r="C168" s="39" t="s">
        <v>365</v>
      </c>
      <c r="D168" s="42">
        <v>45471</v>
      </c>
      <c r="E168" s="29" t="str">
        <f t="shared" si="12"/>
        <v>June</v>
      </c>
      <c r="F168" s="18">
        <f t="shared" si="13"/>
        <v>2024</v>
      </c>
      <c r="G168" s="40">
        <v>45422</v>
      </c>
      <c r="H168" s="41">
        <v>96</v>
      </c>
      <c r="I168" s="44">
        <v>377700</v>
      </c>
      <c r="J168" s="45">
        <v>99340</v>
      </c>
      <c r="K168" s="46">
        <v>4967</v>
      </c>
      <c r="L168" s="46">
        <v>3000</v>
      </c>
      <c r="M168" s="46">
        <v>107307</v>
      </c>
      <c r="N168" s="33" t="s">
        <v>194</v>
      </c>
      <c r="O168" s="33" t="s">
        <v>28</v>
      </c>
    </row>
    <row r="169" ht="15.75" customHeight="1" spans="1:15">
      <c r="A169" s="27" t="s">
        <v>366</v>
      </c>
      <c r="B169" s="27" t="s">
        <v>29</v>
      </c>
      <c r="C169" s="27" t="s">
        <v>367</v>
      </c>
      <c r="D169" s="42">
        <v>45471</v>
      </c>
      <c r="E169" s="29" t="str">
        <f t="shared" si="12"/>
        <v>June</v>
      </c>
      <c r="F169" s="18">
        <f t="shared" si="13"/>
        <v>2024</v>
      </c>
      <c r="G169" s="40">
        <v>45588</v>
      </c>
      <c r="H169" s="41">
        <v>118</v>
      </c>
      <c r="I169" s="44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s="33" t="s">
        <v>194</v>
      </c>
      <c r="O169" s="33" t="s">
        <v>28</v>
      </c>
    </row>
    <row r="170" ht="15.75" customHeight="1" spans="1:15">
      <c r="A170" s="27" t="s">
        <v>366</v>
      </c>
      <c r="B170" s="27" t="s">
        <v>29</v>
      </c>
      <c r="C170" s="27" t="s">
        <v>368</v>
      </c>
      <c r="D170" s="42">
        <v>45329</v>
      </c>
      <c r="E170" s="29" t="str">
        <f t="shared" si="12"/>
        <v>February</v>
      </c>
      <c r="F170" s="18">
        <f t="shared" si="13"/>
        <v>2024</v>
      </c>
      <c r="G170" s="40">
        <v>45588</v>
      </c>
      <c r="H170" s="30">
        <v>114</v>
      </c>
      <c r="I170" s="44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s="33" t="s">
        <v>194</v>
      </c>
      <c r="O170" s="33" t="s">
        <v>28</v>
      </c>
    </row>
    <row r="171" ht="15.75" customHeight="1" spans="1:15">
      <c r="A171" s="27" t="s">
        <v>48</v>
      </c>
      <c r="B171" s="27" t="s">
        <v>41</v>
      </c>
      <c r="C171" s="27" t="s">
        <v>369</v>
      </c>
      <c r="D171" s="42">
        <v>45475</v>
      </c>
      <c r="E171" s="29" t="str">
        <f t="shared" si="12"/>
        <v>July</v>
      </c>
      <c r="F171" s="18">
        <f t="shared" si="13"/>
        <v>2024</v>
      </c>
      <c r="G171" s="40">
        <v>45494</v>
      </c>
      <c r="H171" s="30">
        <v>20</v>
      </c>
      <c r="I171" s="32">
        <v>876136</v>
      </c>
      <c r="J171" s="49">
        <v>47514</v>
      </c>
      <c r="K171" s="32">
        <v>2376</v>
      </c>
      <c r="L171" s="32">
        <v>10000</v>
      </c>
      <c r="M171" s="32">
        <v>59890</v>
      </c>
      <c r="N171" s="33" t="s">
        <v>194</v>
      </c>
      <c r="O171" s="33" t="s">
        <v>28</v>
      </c>
    </row>
    <row r="172" ht="15.75" customHeight="1" spans="1:15">
      <c r="A172" s="27" t="s">
        <v>48</v>
      </c>
      <c r="B172" s="27" t="s">
        <v>41</v>
      </c>
      <c r="C172" s="27" t="s">
        <v>369</v>
      </c>
      <c r="D172" s="42">
        <v>45495</v>
      </c>
      <c r="E172" s="29" t="str">
        <f t="shared" si="12"/>
        <v>July</v>
      </c>
      <c r="F172" s="18">
        <f t="shared" si="13"/>
        <v>2024</v>
      </c>
      <c r="G172" s="47">
        <v>45859</v>
      </c>
      <c r="H172" s="30">
        <v>365</v>
      </c>
      <c r="I172" s="32">
        <v>780422</v>
      </c>
      <c r="J172" s="49">
        <v>780422</v>
      </c>
      <c r="K172" s="32">
        <v>39021</v>
      </c>
      <c r="L172" s="32">
        <v>10000</v>
      </c>
      <c r="M172" s="32">
        <v>829444</v>
      </c>
      <c r="N172" s="33" t="s">
        <v>194</v>
      </c>
      <c r="O172" s="33" t="s">
        <v>28</v>
      </c>
    </row>
    <row r="173" ht="15.75" customHeight="1" spans="1:15">
      <c r="A173" s="27" t="s">
        <v>272</v>
      </c>
      <c r="B173" s="27" t="s">
        <v>29</v>
      </c>
      <c r="C173" s="27" t="s">
        <v>370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8" t="s">
        <v>371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s="33" t="s">
        <v>194</v>
      </c>
      <c r="O173" s="33" t="s">
        <v>28</v>
      </c>
    </row>
    <row r="174" ht="15.75" customHeight="1" spans="1:15">
      <c r="A174" s="27" t="s">
        <v>372</v>
      </c>
      <c r="B174" s="27" t="s">
        <v>29</v>
      </c>
      <c r="C174" s="27" t="s">
        <v>373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s="33" t="s">
        <v>194</v>
      </c>
      <c r="O174" s="33" t="s">
        <v>28</v>
      </c>
    </row>
    <row r="175" ht="15.75" customHeight="1" spans="1:15">
      <c r="A175" s="27" t="s">
        <v>374</v>
      </c>
      <c r="B175" s="27" t="s">
        <v>35</v>
      </c>
      <c r="C175" s="27" t="s">
        <v>375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s="33" t="s">
        <v>194</v>
      </c>
      <c r="O175" s="33" t="s">
        <v>28</v>
      </c>
    </row>
    <row r="176" ht="15.75" customHeight="1" spans="1:15">
      <c r="A176" s="27" t="s">
        <v>376</v>
      </c>
      <c r="B176" s="27" t="s">
        <v>35</v>
      </c>
      <c r="C176" s="27" t="s">
        <v>377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s="33" t="s">
        <v>194</v>
      </c>
      <c r="O176" s="33" t="s">
        <v>28</v>
      </c>
    </row>
    <row r="177" ht="15.75" customHeight="1" spans="1:15">
      <c r="A177" s="27" t="s">
        <v>378</v>
      </c>
      <c r="B177" s="27" t="s">
        <v>41</v>
      </c>
      <c r="C177" s="27" t="s">
        <v>379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s="33" t="s">
        <v>194</v>
      </c>
      <c r="O177" s="33" t="s">
        <v>28</v>
      </c>
    </row>
    <row r="178" ht="15.75" customHeight="1" spans="1:15">
      <c r="A178" s="27" t="s">
        <v>378</v>
      </c>
      <c r="B178" s="27" t="s">
        <v>41</v>
      </c>
      <c r="C178" s="27" t="s">
        <v>380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s="33" t="s">
        <v>194</v>
      </c>
      <c r="O178" s="33" t="s">
        <v>28</v>
      </c>
    </row>
    <row r="179" ht="15.75" customHeight="1" spans="1:15">
      <c r="A179" s="27" t="s">
        <v>378</v>
      </c>
      <c r="B179" s="27" t="s">
        <v>41</v>
      </c>
      <c r="C179" s="27" t="s">
        <v>381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s="33" t="s">
        <v>194</v>
      </c>
      <c r="O179" s="33" t="s">
        <v>28</v>
      </c>
    </row>
    <row r="180" ht="15.75" customHeight="1" spans="1:15">
      <c r="A180" s="27" t="s">
        <v>382</v>
      </c>
      <c r="B180" s="27" t="s">
        <v>29</v>
      </c>
      <c r="C180" s="27" t="s">
        <v>383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</v>
      </c>
      <c r="K180" s="32">
        <f>J180*5%</f>
        <v>34579.8801369863</v>
      </c>
      <c r="L180" s="32">
        <v>50000</v>
      </c>
      <c r="M180" s="32">
        <f>SUM(J180:L180)</f>
        <v>776177.482876712</v>
      </c>
      <c r="N180" s="33" t="s">
        <v>194</v>
      </c>
      <c r="O180" s="33" t="s">
        <v>28</v>
      </c>
    </row>
    <row r="181" ht="15.75" customHeight="1" spans="1:15">
      <c r="A181" s="27" t="s">
        <v>382</v>
      </c>
      <c r="B181" s="27" t="s">
        <v>29</v>
      </c>
      <c r="C181" s="27" t="s">
        <v>384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</v>
      </c>
      <c r="K181" s="32">
        <f>J181*5%</f>
        <v>34579.8801369863</v>
      </c>
      <c r="L181" s="32">
        <v>10000</v>
      </c>
      <c r="M181" s="32">
        <f>SUM(J181:L181)</f>
        <v>736177.482876712</v>
      </c>
      <c r="N181" s="33" t="s">
        <v>194</v>
      </c>
      <c r="O181" s="33" t="s">
        <v>28</v>
      </c>
    </row>
    <row r="182" ht="15.75" customHeight="1" spans="1:15">
      <c r="A182" s="27" t="s">
        <v>382</v>
      </c>
      <c r="B182" s="27" t="s">
        <v>29</v>
      </c>
      <c r="C182" s="27" t="s">
        <v>385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</v>
      </c>
      <c r="K182" s="32">
        <f>J182*5%</f>
        <v>34579.8801369863</v>
      </c>
      <c r="L182" s="32">
        <v>10000</v>
      </c>
      <c r="M182" s="32">
        <f>SUM(J182:L182)</f>
        <v>736177.482876712</v>
      </c>
      <c r="N182" s="33" t="s">
        <v>194</v>
      </c>
      <c r="O182" s="33" t="s">
        <v>28</v>
      </c>
    </row>
    <row r="183" ht="15.75" customHeight="1" spans="1:15">
      <c r="A183" s="27" t="s">
        <v>386</v>
      </c>
      <c r="B183" s="27" t="s">
        <v>29</v>
      </c>
      <c r="C183" s="27" t="s">
        <v>387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s="33" t="s">
        <v>194</v>
      </c>
      <c r="O183" s="33" t="s">
        <v>28</v>
      </c>
    </row>
    <row r="184" ht="15.75" customHeight="1" spans="1:15">
      <c r="A184" s="27" t="s">
        <v>374</v>
      </c>
      <c r="B184" s="27" t="s">
        <v>35</v>
      </c>
      <c r="C184" s="27" t="s">
        <v>388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</v>
      </c>
      <c r="K184" s="32">
        <f t="shared" ref="K184:K224" si="15">J184*5%</f>
        <v>5029.95671232877</v>
      </c>
      <c r="L184" s="32">
        <v>10000</v>
      </c>
      <c r="M184" s="32">
        <f t="shared" ref="M184:M224" si="16">SUM(J184:L184)</f>
        <v>115629.090958904</v>
      </c>
      <c r="N184" s="33" t="s">
        <v>194</v>
      </c>
      <c r="O184" s="33" t="s">
        <v>28</v>
      </c>
    </row>
    <row r="185" ht="15.75" customHeight="1" spans="1:15">
      <c r="A185" s="27" t="s">
        <v>94</v>
      </c>
      <c r="B185" s="27" t="s">
        <v>29</v>
      </c>
      <c r="C185" s="27" t="s">
        <v>389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74705.3698630137</v>
      </c>
      <c r="K185" s="32">
        <f t="shared" si="15"/>
        <v>3735.26849315068</v>
      </c>
      <c r="L185" s="32">
        <v>10000</v>
      </c>
      <c r="M185" s="32">
        <f t="shared" si="16"/>
        <v>88440.6383561644</v>
      </c>
      <c r="N185" s="33" t="s">
        <v>194</v>
      </c>
      <c r="O185" s="33" t="s">
        <v>28</v>
      </c>
    </row>
    <row r="186" ht="15.75" customHeight="1" spans="1:15">
      <c r="A186" s="27" t="s">
        <v>94</v>
      </c>
      <c r="B186" s="27" t="s">
        <v>29</v>
      </c>
      <c r="C186" s="27" t="s">
        <v>390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74705.3698630137</v>
      </c>
      <c r="K186" s="32">
        <f t="shared" si="15"/>
        <v>3735.26849315068</v>
      </c>
      <c r="L186" s="32">
        <v>10000</v>
      </c>
      <c r="M186" s="32">
        <f t="shared" si="16"/>
        <v>88440.6383561644</v>
      </c>
      <c r="N186" s="33" t="s">
        <v>194</v>
      </c>
      <c r="O186" s="33" t="s">
        <v>28</v>
      </c>
    </row>
    <row r="187" ht="15.75" customHeight="1" spans="1:15">
      <c r="A187" s="27" t="s">
        <v>391</v>
      </c>
      <c r="B187" s="27" t="s">
        <v>29</v>
      </c>
      <c r="C187" s="27" t="s">
        <v>392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641341.780821918</v>
      </c>
      <c r="K187" s="32">
        <f t="shared" si="15"/>
        <v>32067.0890410959</v>
      </c>
      <c r="L187" s="32">
        <v>40000</v>
      </c>
      <c r="M187" s="32">
        <f t="shared" si="16"/>
        <v>713408.869863014</v>
      </c>
      <c r="N187" s="33" t="s">
        <v>194</v>
      </c>
      <c r="O187" s="33" t="s">
        <v>28</v>
      </c>
    </row>
    <row r="188" ht="15.75" customHeight="1" spans="1:15">
      <c r="A188" s="27" t="s">
        <v>391</v>
      </c>
      <c r="B188" s="27" t="s">
        <v>29</v>
      </c>
      <c r="C188" s="27" t="s">
        <v>393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641341.780821918</v>
      </c>
      <c r="K188" s="32">
        <f t="shared" si="15"/>
        <v>32067.0890410959</v>
      </c>
      <c r="L188" s="32">
        <v>20000</v>
      </c>
      <c r="M188" s="32">
        <f t="shared" si="16"/>
        <v>693408.869863014</v>
      </c>
      <c r="N188" s="33" t="s">
        <v>194</v>
      </c>
      <c r="O188" s="33" t="s">
        <v>28</v>
      </c>
    </row>
    <row r="189" ht="15.75" customHeight="1" spans="1:15">
      <c r="A189" s="27" t="s">
        <v>391</v>
      </c>
      <c r="B189" s="27" t="s">
        <v>29</v>
      </c>
      <c r="C189" s="27" t="s">
        <v>394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634408.356164384</v>
      </c>
      <c r="K189" s="32">
        <f t="shared" si="15"/>
        <v>31720.4178082192</v>
      </c>
      <c r="L189" s="32">
        <v>10000</v>
      </c>
      <c r="M189" s="32">
        <f t="shared" si="16"/>
        <v>676128.773972603</v>
      </c>
      <c r="N189" s="33" t="s">
        <v>194</v>
      </c>
      <c r="O189" s="33" t="s">
        <v>28</v>
      </c>
    </row>
    <row r="190" ht="15.75" customHeight="1" spans="1:15">
      <c r="A190" s="27" t="s">
        <v>55</v>
      </c>
      <c r="B190" s="27" t="s">
        <v>29</v>
      </c>
      <c r="C190" s="27" t="s">
        <v>395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22462.7178082192</v>
      </c>
      <c r="K190" s="32">
        <f t="shared" si="15"/>
        <v>1123.13589041096</v>
      </c>
      <c r="L190" s="32">
        <v>10000</v>
      </c>
      <c r="M190" s="32">
        <f t="shared" si="16"/>
        <v>33585.8536986301</v>
      </c>
      <c r="N190" s="33" t="s">
        <v>194</v>
      </c>
      <c r="O190" s="33" t="s">
        <v>28</v>
      </c>
    </row>
    <row r="191" ht="15.75" customHeight="1" spans="1:15">
      <c r="A191" s="27" t="s">
        <v>396</v>
      </c>
      <c r="B191" s="27" t="s">
        <v>35</v>
      </c>
      <c r="C191" s="27" t="s">
        <v>397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</v>
      </c>
      <c r="K191" s="32">
        <f t="shared" si="15"/>
        <v>20500.5461643836</v>
      </c>
      <c r="L191" s="32">
        <v>5000</v>
      </c>
      <c r="M191" s="32">
        <f t="shared" si="16"/>
        <v>435511.469452055</v>
      </c>
      <c r="N191" s="33" t="s">
        <v>194</v>
      </c>
      <c r="O191" s="33" t="s">
        <v>28</v>
      </c>
    </row>
    <row r="192" ht="15.75" customHeight="1" spans="1:15">
      <c r="A192" s="27" t="s">
        <v>398</v>
      </c>
      <c r="B192" s="27" t="s">
        <v>29</v>
      </c>
      <c r="C192" s="27" t="s">
        <v>399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</v>
      </c>
      <c r="K192" s="32">
        <f t="shared" si="15"/>
        <v>18941.2865753425</v>
      </c>
      <c r="L192" s="32">
        <v>10000</v>
      </c>
      <c r="M192" s="32">
        <f t="shared" si="16"/>
        <v>407767.018082192</v>
      </c>
      <c r="N192" s="33" t="s">
        <v>194</v>
      </c>
      <c r="O192" s="33" t="s">
        <v>28</v>
      </c>
    </row>
    <row r="193" ht="15.75" customHeight="1" spans="1:15">
      <c r="A193" s="27" t="s">
        <v>113</v>
      </c>
      <c r="B193" s="27" t="s">
        <v>35</v>
      </c>
      <c r="C193" s="27" t="s">
        <v>400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</v>
      </c>
      <c r="K193" s="32">
        <f t="shared" si="15"/>
        <v>16168.701369863</v>
      </c>
      <c r="L193" s="32">
        <v>10000</v>
      </c>
      <c r="M193" s="32">
        <f t="shared" si="16"/>
        <v>349542.728767123</v>
      </c>
      <c r="N193" s="33" t="s">
        <v>194</v>
      </c>
      <c r="O193" s="33" t="s">
        <v>28</v>
      </c>
    </row>
    <row r="194" ht="15.75" customHeight="1" spans="1:15">
      <c r="A194" s="27" t="s">
        <v>94</v>
      </c>
      <c r="B194" s="27" t="s">
        <v>29</v>
      </c>
      <c r="C194" s="27" t="s">
        <v>401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</v>
      </c>
      <c r="K194" s="32">
        <f t="shared" si="15"/>
        <v>7099.86739726027</v>
      </c>
      <c r="L194" s="32">
        <v>10000</v>
      </c>
      <c r="M194" s="32">
        <f t="shared" si="16"/>
        <v>159097.215342466</v>
      </c>
      <c r="N194" s="33" t="s">
        <v>194</v>
      </c>
      <c r="O194" s="33" t="s">
        <v>28</v>
      </c>
    </row>
    <row r="195" ht="15.75" customHeight="1" spans="1:15">
      <c r="A195" s="27" t="s">
        <v>94</v>
      </c>
      <c r="B195" s="27" t="s">
        <v>29</v>
      </c>
      <c r="C195" s="27" t="s">
        <v>402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</v>
      </c>
      <c r="K195" s="32">
        <f t="shared" si="15"/>
        <v>7099.86739726027</v>
      </c>
      <c r="L195" s="32">
        <v>10000</v>
      </c>
      <c r="M195" s="32">
        <f t="shared" si="16"/>
        <v>159097.215342466</v>
      </c>
      <c r="N195" s="33" t="s">
        <v>194</v>
      </c>
      <c r="O195" s="33" t="s">
        <v>28</v>
      </c>
    </row>
    <row r="196" ht="15.75" customHeight="1" spans="1:15">
      <c r="A196" s="27" t="s">
        <v>94</v>
      </c>
      <c r="B196" s="27" t="s">
        <v>29</v>
      </c>
      <c r="C196" s="27" t="s">
        <v>403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</v>
      </c>
      <c r="K196" s="32">
        <f t="shared" si="15"/>
        <v>3170.42301369863</v>
      </c>
      <c r="L196" s="32">
        <v>10000</v>
      </c>
      <c r="M196" s="32">
        <f t="shared" si="16"/>
        <v>76578.8832876712</v>
      </c>
      <c r="N196" s="33" t="s">
        <v>194</v>
      </c>
      <c r="O196" s="33" t="s">
        <v>28</v>
      </c>
    </row>
    <row r="197" ht="15.75" customHeight="1" spans="1:15">
      <c r="A197" s="27" t="s">
        <v>117</v>
      </c>
      <c r="B197" s="27" t="s">
        <v>35</v>
      </c>
      <c r="C197" s="27" t="s">
        <v>404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321084.38630137</v>
      </c>
      <c r="K197" s="32">
        <f t="shared" si="15"/>
        <v>16054.2193150685</v>
      </c>
      <c r="L197" s="32">
        <v>5000</v>
      </c>
      <c r="M197" s="32">
        <f t="shared" si="16"/>
        <v>342138.605616438</v>
      </c>
      <c r="N197" s="33" t="s">
        <v>194</v>
      </c>
      <c r="O197" s="33" t="s">
        <v>28</v>
      </c>
    </row>
    <row r="198" ht="15.75" customHeight="1" spans="1:15">
      <c r="A198" s="27" t="s">
        <v>117</v>
      </c>
      <c r="B198" s="27" t="s">
        <v>35</v>
      </c>
      <c r="C198" s="27" t="s">
        <v>405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321084.38630137</v>
      </c>
      <c r="K198" s="32">
        <f t="shared" si="15"/>
        <v>16054.2193150685</v>
      </c>
      <c r="L198" s="32">
        <v>5000</v>
      </c>
      <c r="M198" s="32">
        <f t="shared" si="16"/>
        <v>342138.605616438</v>
      </c>
      <c r="N198" s="33" t="s">
        <v>194</v>
      </c>
      <c r="O198" s="33" t="s">
        <v>28</v>
      </c>
    </row>
    <row r="199" ht="15.75" customHeight="1" spans="1:15">
      <c r="A199" s="27" t="s">
        <v>117</v>
      </c>
      <c r="B199" s="27" t="s">
        <v>35</v>
      </c>
      <c r="C199" s="27" t="s">
        <v>406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321084.38630137</v>
      </c>
      <c r="K199" s="32">
        <f t="shared" si="15"/>
        <v>16054.2193150685</v>
      </c>
      <c r="L199" s="32">
        <v>5000</v>
      </c>
      <c r="M199" s="32">
        <f t="shared" si="16"/>
        <v>342138.605616438</v>
      </c>
      <c r="N199" s="33" t="s">
        <v>194</v>
      </c>
      <c r="O199" s="33" t="s">
        <v>28</v>
      </c>
    </row>
    <row r="200" ht="15.75" customHeight="1" spans="1:15">
      <c r="A200" s="27" t="s">
        <v>117</v>
      </c>
      <c r="B200" s="27" t="s">
        <v>35</v>
      </c>
      <c r="C200" s="27" t="s">
        <v>407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321084.38630137</v>
      </c>
      <c r="K200" s="32">
        <f t="shared" si="15"/>
        <v>16054.2193150685</v>
      </c>
      <c r="L200" s="32">
        <v>5000</v>
      </c>
      <c r="M200" s="32">
        <f t="shared" si="16"/>
        <v>342138.605616438</v>
      </c>
      <c r="N200" s="33" t="s">
        <v>194</v>
      </c>
      <c r="O200" s="33" t="s">
        <v>28</v>
      </c>
    </row>
    <row r="201" ht="15.75" customHeight="1" spans="1:15">
      <c r="A201" s="27" t="s">
        <v>117</v>
      </c>
      <c r="B201" s="27" t="s">
        <v>35</v>
      </c>
      <c r="C201" s="27" t="s">
        <v>408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321084.38630137</v>
      </c>
      <c r="K201" s="32">
        <f t="shared" si="15"/>
        <v>16054.2193150685</v>
      </c>
      <c r="L201" s="32">
        <v>5000</v>
      </c>
      <c r="M201" s="32">
        <f t="shared" si="16"/>
        <v>342138.605616438</v>
      </c>
      <c r="N201" s="33" t="s">
        <v>194</v>
      </c>
      <c r="O201" s="33" t="s">
        <v>28</v>
      </c>
    </row>
    <row r="202" ht="15.75" customHeight="1" spans="1:15">
      <c r="A202" s="27" t="s">
        <v>117</v>
      </c>
      <c r="B202" s="27" t="s">
        <v>35</v>
      </c>
      <c r="C202" s="27" t="s">
        <v>409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321084.38630137</v>
      </c>
      <c r="K202" s="32">
        <f t="shared" si="15"/>
        <v>16054.2193150685</v>
      </c>
      <c r="L202" s="32">
        <v>5000</v>
      </c>
      <c r="M202" s="32">
        <f t="shared" si="16"/>
        <v>342138.605616438</v>
      </c>
      <c r="N202" s="33" t="s">
        <v>194</v>
      </c>
      <c r="O202" s="33" t="s">
        <v>28</v>
      </c>
    </row>
    <row r="203" ht="15.75" customHeight="1" spans="1:15">
      <c r="A203" s="27" t="s">
        <v>117</v>
      </c>
      <c r="B203" s="27" t="s">
        <v>35</v>
      </c>
      <c r="C203" s="27" t="s">
        <v>410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321084.38630137</v>
      </c>
      <c r="K203" s="32">
        <f t="shared" si="15"/>
        <v>16054.2193150685</v>
      </c>
      <c r="L203" s="32">
        <v>5000</v>
      </c>
      <c r="M203" s="32">
        <f t="shared" si="16"/>
        <v>342138.605616438</v>
      </c>
      <c r="N203" s="33" t="s">
        <v>194</v>
      </c>
      <c r="O203" s="33" t="s">
        <v>28</v>
      </c>
    </row>
    <row r="204" ht="15.75" customHeight="1" spans="1:15">
      <c r="A204" s="27" t="s">
        <v>117</v>
      </c>
      <c r="B204" s="27" t="s">
        <v>35</v>
      </c>
      <c r="C204" s="27" t="s">
        <v>411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321084.38630137</v>
      </c>
      <c r="K204" s="32">
        <f t="shared" si="15"/>
        <v>16054.2193150685</v>
      </c>
      <c r="L204" s="32">
        <v>5000</v>
      </c>
      <c r="M204" s="32">
        <f t="shared" si="16"/>
        <v>342138.605616438</v>
      </c>
      <c r="N204" s="33" t="s">
        <v>194</v>
      </c>
      <c r="O204" s="33" t="s">
        <v>28</v>
      </c>
    </row>
    <row r="205" ht="15.75" customHeight="1" spans="1:15">
      <c r="A205" s="27" t="s">
        <v>117</v>
      </c>
      <c r="B205" s="27" t="s">
        <v>35</v>
      </c>
      <c r="C205" s="27" t="s">
        <v>412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321084.38630137</v>
      </c>
      <c r="K205" s="32">
        <f t="shared" si="15"/>
        <v>16054.2193150685</v>
      </c>
      <c r="L205" s="32">
        <v>5000</v>
      </c>
      <c r="M205" s="32">
        <f t="shared" si="16"/>
        <v>342138.605616438</v>
      </c>
      <c r="N205" s="33" t="s">
        <v>194</v>
      </c>
      <c r="O205" s="33" t="s">
        <v>28</v>
      </c>
    </row>
    <row r="206" ht="15.75" customHeight="1" spans="1:15">
      <c r="A206" s="27" t="s">
        <v>117</v>
      </c>
      <c r="B206" s="27" t="s">
        <v>35</v>
      </c>
      <c r="C206" s="27" t="s">
        <v>413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321084.38630137</v>
      </c>
      <c r="K206" s="32">
        <f t="shared" si="15"/>
        <v>16054.2193150685</v>
      </c>
      <c r="L206" s="32">
        <v>5000</v>
      </c>
      <c r="M206" s="32">
        <f t="shared" si="16"/>
        <v>342138.605616438</v>
      </c>
      <c r="N206" s="33" t="s">
        <v>194</v>
      </c>
      <c r="O206" s="33" t="s">
        <v>28</v>
      </c>
    </row>
    <row r="207" ht="15.75" customHeight="1" spans="1:15">
      <c r="A207" s="27" t="s">
        <v>117</v>
      </c>
      <c r="B207" s="27" t="s">
        <v>35</v>
      </c>
      <c r="C207" s="27" t="s">
        <v>414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321084.38630137</v>
      </c>
      <c r="K207" s="32">
        <f t="shared" si="15"/>
        <v>16054.2193150685</v>
      </c>
      <c r="L207" s="32">
        <v>5000</v>
      </c>
      <c r="M207" s="32">
        <f t="shared" si="16"/>
        <v>342138.605616438</v>
      </c>
      <c r="N207" s="33" t="s">
        <v>194</v>
      </c>
      <c r="O207" s="33" t="s">
        <v>28</v>
      </c>
    </row>
    <row r="208" ht="15.75" customHeight="1" spans="1:15">
      <c r="A208" s="27" t="s">
        <v>117</v>
      </c>
      <c r="B208" s="27" t="s">
        <v>35</v>
      </c>
      <c r="C208" s="27" t="s">
        <v>415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321084.38630137</v>
      </c>
      <c r="K208" s="32">
        <f t="shared" si="15"/>
        <v>16054.2193150685</v>
      </c>
      <c r="L208" s="32">
        <v>5000</v>
      </c>
      <c r="M208" s="32">
        <f t="shared" si="16"/>
        <v>342138.605616438</v>
      </c>
      <c r="N208" s="33" t="s">
        <v>194</v>
      </c>
      <c r="O208" s="33" t="s">
        <v>28</v>
      </c>
    </row>
    <row r="209" ht="15.75" customHeight="1" spans="1:15">
      <c r="A209" s="27" t="s">
        <v>117</v>
      </c>
      <c r="B209" s="27" t="s">
        <v>35</v>
      </c>
      <c r="C209" s="27" t="s">
        <v>416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321084.38630137</v>
      </c>
      <c r="K209" s="32">
        <f t="shared" si="15"/>
        <v>16054.2193150685</v>
      </c>
      <c r="L209" s="32">
        <v>5000</v>
      </c>
      <c r="M209" s="32">
        <f t="shared" si="16"/>
        <v>342138.605616438</v>
      </c>
      <c r="N209" s="33" t="s">
        <v>194</v>
      </c>
      <c r="O209" s="33" t="s">
        <v>28</v>
      </c>
    </row>
    <row r="210" ht="15.75" customHeight="1" spans="1:15">
      <c r="A210" s="27" t="s">
        <v>117</v>
      </c>
      <c r="B210" s="27" t="s">
        <v>35</v>
      </c>
      <c r="C210" s="27" t="s">
        <v>417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321084.38630137</v>
      </c>
      <c r="K210" s="32">
        <f t="shared" si="15"/>
        <v>16054.2193150685</v>
      </c>
      <c r="L210" s="32">
        <v>5000</v>
      </c>
      <c r="M210" s="32">
        <f t="shared" si="16"/>
        <v>342138.605616438</v>
      </c>
      <c r="N210" s="33" t="s">
        <v>194</v>
      </c>
      <c r="O210" s="33" t="s">
        <v>28</v>
      </c>
    </row>
    <row r="211" ht="15.75" customHeight="1" spans="1:15">
      <c r="A211" s="27" t="s">
        <v>117</v>
      </c>
      <c r="B211" s="27" t="s">
        <v>35</v>
      </c>
      <c r="C211" s="27" t="s">
        <v>418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321084.38630137</v>
      </c>
      <c r="K211" s="32">
        <f t="shared" si="15"/>
        <v>16054.2193150685</v>
      </c>
      <c r="L211" s="32">
        <v>5000</v>
      </c>
      <c r="M211" s="32">
        <f t="shared" si="16"/>
        <v>342138.605616438</v>
      </c>
      <c r="N211" s="33" t="s">
        <v>194</v>
      </c>
      <c r="O211" s="33" t="s">
        <v>28</v>
      </c>
    </row>
    <row r="212" ht="15.75" customHeight="1" spans="1:15">
      <c r="A212" s="27" t="s">
        <v>117</v>
      </c>
      <c r="B212" s="27" t="s">
        <v>35</v>
      </c>
      <c r="C212" s="27" t="s">
        <v>419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321084.38630137</v>
      </c>
      <c r="K212" s="32">
        <f t="shared" si="15"/>
        <v>16054.2193150685</v>
      </c>
      <c r="L212" s="32">
        <v>5000</v>
      </c>
      <c r="M212" s="32">
        <f t="shared" si="16"/>
        <v>342138.605616438</v>
      </c>
      <c r="N212" s="33" t="s">
        <v>194</v>
      </c>
      <c r="O212" s="33" t="s">
        <v>28</v>
      </c>
    </row>
    <row r="213" ht="15.75" customHeight="1" spans="1:15">
      <c r="A213" s="27" t="s">
        <v>117</v>
      </c>
      <c r="B213" s="27" t="s">
        <v>35</v>
      </c>
      <c r="C213" s="27" t="s">
        <v>420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668359.898630137</v>
      </c>
      <c r="K213" s="32">
        <f t="shared" si="15"/>
        <v>33417.9949315069</v>
      </c>
      <c r="L213" s="32">
        <v>15000</v>
      </c>
      <c r="M213" s="32">
        <f t="shared" si="16"/>
        <v>716777.893561644</v>
      </c>
      <c r="N213" s="33" t="s">
        <v>194</v>
      </c>
      <c r="O213" s="33" t="s">
        <v>28</v>
      </c>
    </row>
    <row r="214" ht="15.75" customHeight="1" spans="1:15">
      <c r="A214" s="27" t="s">
        <v>117</v>
      </c>
      <c r="B214" s="27" t="s">
        <v>35</v>
      </c>
      <c r="C214" s="27" t="s">
        <v>421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668359.898630137</v>
      </c>
      <c r="K214" s="32">
        <f t="shared" si="15"/>
        <v>33417.9949315069</v>
      </c>
      <c r="L214" s="32">
        <v>15000</v>
      </c>
      <c r="M214" s="32">
        <f t="shared" si="16"/>
        <v>716777.893561644</v>
      </c>
      <c r="N214" s="33" t="s">
        <v>194</v>
      </c>
      <c r="O214" s="33" t="s">
        <v>28</v>
      </c>
    </row>
    <row r="215" ht="15.75" customHeight="1" spans="1:15">
      <c r="A215" s="27" t="s">
        <v>117</v>
      </c>
      <c r="B215" s="27" t="s">
        <v>35</v>
      </c>
      <c r="C215" s="27" t="s">
        <v>422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668359.898630137</v>
      </c>
      <c r="K215" s="32">
        <f t="shared" si="15"/>
        <v>33417.9949315069</v>
      </c>
      <c r="L215" s="32">
        <v>15000</v>
      </c>
      <c r="M215" s="32">
        <f t="shared" si="16"/>
        <v>716777.893561644</v>
      </c>
      <c r="N215" s="33" t="s">
        <v>194</v>
      </c>
      <c r="O215" s="33" t="s">
        <v>28</v>
      </c>
    </row>
    <row r="216" ht="15.75" customHeight="1" spans="1:15">
      <c r="A216" s="27" t="s">
        <v>117</v>
      </c>
      <c r="B216" s="27" t="s">
        <v>35</v>
      </c>
      <c r="C216" s="27" t="s">
        <v>423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257425.263013699</v>
      </c>
      <c r="K216" s="32">
        <f t="shared" si="15"/>
        <v>12871.2631506849</v>
      </c>
      <c r="L216" s="32">
        <v>5000</v>
      </c>
      <c r="M216" s="32">
        <f t="shared" si="16"/>
        <v>275296.526164384</v>
      </c>
      <c r="N216" s="33" t="s">
        <v>194</v>
      </c>
      <c r="O216" s="33" t="s">
        <v>28</v>
      </c>
    </row>
    <row r="217" ht="15.75" customHeight="1" spans="1:15">
      <c r="A217" s="27" t="s">
        <v>117</v>
      </c>
      <c r="B217" s="27" t="s">
        <v>35</v>
      </c>
      <c r="C217" s="27" t="s">
        <v>424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89850.2493150685</v>
      </c>
      <c r="K217" s="32">
        <f t="shared" si="15"/>
        <v>4492.51246575342</v>
      </c>
      <c r="L217" s="32">
        <v>5000</v>
      </c>
      <c r="M217" s="32">
        <f t="shared" si="16"/>
        <v>99342.7617808219</v>
      </c>
      <c r="N217" s="33" t="s">
        <v>194</v>
      </c>
      <c r="O217" s="33" t="s">
        <v>28</v>
      </c>
    </row>
    <row r="218" ht="15.75" customHeight="1" spans="1:15">
      <c r="A218" s="27" t="s">
        <v>376</v>
      </c>
      <c r="B218" s="27" t="s">
        <v>35</v>
      </c>
      <c r="C218" s="27" t="s">
        <v>425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</v>
      </c>
      <c r="K218" s="32">
        <f t="shared" si="15"/>
        <v>7793.40205479452</v>
      </c>
      <c r="L218" s="32">
        <v>5000</v>
      </c>
      <c r="M218" s="32">
        <f t="shared" si="16"/>
        <v>168661.443150685</v>
      </c>
      <c r="N218" s="33" t="s">
        <v>194</v>
      </c>
      <c r="O218" s="33" t="s">
        <v>28</v>
      </c>
    </row>
    <row r="219" ht="15.75" customHeight="1" spans="1:15">
      <c r="A219" s="27" t="s">
        <v>376</v>
      </c>
      <c r="B219" s="27" t="s">
        <v>35</v>
      </c>
      <c r="C219" s="27" t="s">
        <v>426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</v>
      </c>
      <c r="K219" s="32">
        <f t="shared" si="15"/>
        <v>7793.40205479452</v>
      </c>
      <c r="L219" s="32">
        <v>5000</v>
      </c>
      <c r="M219" s="32">
        <f t="shared" si="16"/>
        <v>168661.443150685</v>
      </c>
      <c r="N219" s="33" t="s">
        <v>194</v>
      </c>
      <c r="O219" s="33" t="s">
        <v>28</v>
      </c>
    </row>
    <row r="220" ht="15.75" customHeight="1" spans="1:15">
      <c r="A220" s="27" t="s">
        <v>48</v>
      </c>
      <c r="B220" s="27" t="s">
        <v>41</v>
      </c>
      <c r="C220" s="27" t="s">
        <v>427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</v>
      </c>
      <c r="K220" s="32">
        <f t="shared" si="15"/>
        <v>101828.794794521</v>
      </c>
      <c r="L220" s="32">
        <v>20000</v>
      </c>
      <c r="M220" s="32">
        <f t="shared" si="16"/>
        <v>2158404.69068493</v>
      </c>
      <c r="N220" s="33" t="s">
        <v>194</v>
      </c>
      <c r="O220" s="33" t="s">
        <v>28</v>
      </c>
    </row>
    <row r="221" ht="15.75" customHeight="1" spans="1:15">
      <c r="A221" s="27" t="s">
        <v>428</v>
      </c>
      <c r="B221" s="27" t="s">
        <v>29</v>
      </c>
      <c r="C221" s="27" t="s">
        <v>429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</v>
      </c>
      <c r="K221" s="32">
        <f t="shared" si="15"/>
        <v>40534.2101369863</v>
      </c>
      <c r="L221" s="32">
        <v>30000</v>
      </c>
      <c r="M221" s="32">
        <f t="shared" si="16"/>
        <v>881218.412876712</v>
      </c>
      <c r="N221" s="33" t="s">
        <v>194</v>
      </c>
      <c r="O221" s="33" t="s">
        <v>28</v>
      </c>
    </row>
    <row r="222" ht="15.75" customHeight="1" spans="1:15">
      <c r="A222" s="27" t="s">
        <v>428</v>
      </c>
      <c r="B222" s="27" t="s">
        <v>29</v>
      </c>
      <c r="C222" s="27" t="s">
        <v>430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</v>
      </c>
      <c r="K222" s="32">
        <f t="shared" si="15"/>
        <v>40534.2101369863</v>
      </c>
      <c r="L222" s="32">
        <v>70000</v>
      </c>
      <c r="M222" s="32">
        <f t="shared" si="16"/>
        <v>921218.412876712</v>
      </c>
      <c r="N222" s="33" t="s">
        <v>194</v>
      </c>
      <c r="O222" s="33" t="s">
        <v>28</v>
      </c>
    </row>
    <row r="223" ht="15.75" customHeight="1" spans="1:15">
      <c r="A223" s="27" t="s">
        <v>428</v>
      </c>
      <c r="B223" s="27" t="s">
        <v>29</v>
      </c>
      <c r="C223" s="27" t="s">
        <v>431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</v>
      </c>
      <c r="K223" s="32">
        <f t="shared" si="15"/>
        <v>40534.2101369863</v>
      </c>
      <c r="L223" s="32">
        <v>50000</v>
      </c>
      <c r="M223" s="32">
        <f t="shared" si="16"/>
        <v>901218.412876712</v>
      </c>
      <c r="N223" s="33" t="s">
        <v>194</v>
      </c>
      <c r="O223" s="33" t="s">
        <v>28</v>
      </c>
    </row>
    <row r="224" ht="15.75" customHeight="1" spans="1:15">
      <c r="A224" s="27" t="s">
        <v>428</v>
      </c>
      <c r="B224" s="27" t="s">
        <v>29</v>
      </c>
      <c r="C224" s="27" t="s">
        <v>432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813082.676712329</v>
      </c>
      <c r="K224" s="32">
        <f t="shared" si="15"/>
        <v>40654.1338356164</v>
      </c>
      <c r="L224" s="32">
        <v>10000</v>
      </c>
      <c r="M224" s="32">
        <f t="shared" si="16"/>
        <v>863736.810547945</v>
      </c>
      <c r="N224" s="33" t="s">
        <v>194</v>
      </c>
      <c r="O224" s="33" t="s">
        <v>28</v>
      </c>
    </row>
    <row r="225" ht="15.75" customHeight="1" spans="1:15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50"/>
      <c r="O225" s="34"/>
    </row>
    <row r="226" ht="15.75" customHeight="1" spans="1:15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50"/>
      <c r="O226" s="34"/>
    </row>
    <row r="227" ht="15.75" customHeight="1" spans="1:15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50"/>
      <c r="O227" s="34"/>
    </row>
    <row r="228" ht="15.75" customHeight="1" spans="1:15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50"/>
      <c r="O228" s="34"/>
    </row>
    <row r="229" ht="15.75" customHeight="1" spans="1:15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50"/>
      <c r="O229" s="34"/>
    </row>
    <row r="230" ht="15.75" customHeight="1" spans="1:15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50"/>
      <c r="O230" s="34"/>
    </row>
    <row r="231" ht="15.75" customHeight="1" spans="1:15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50"/>
      <c r="O231" s="34"/>
    </row>
    <row r="232" ht="15.75" customHeight="1" spans="1:15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50"/>
      <c r="O232" s="34"/>
    </row>
    <row r="233" ht="15.75" customHeight="1" spans="10:10">
      <c r="J233" s="34"/>
    </row>
    <row r="234" ht="15.75" customHeight="1" spans="10:10">
      <c r="J234" s="34"/>
    </row>
    <row r="235" ht="15.75" customHeight="1" spans="10:10">
      <c r="J235" s="34"/>
    </row>
    <row r="236" ht="15.75" customHeight="1" spans="10:10">
      <c r="J236" s="34"/>
    </row>
    <row r="237" ht="15.75" customHeight="1" spans="10:10">
      <c r="J237" s="34"/>
    </row>
    <row r="238" ht="15.75" customHeight="1" spans="10:10">
      <c r="J238" s="34"/>
    </row>
    <row r="239" ht="15.75" customHeight="1" spans="10:10">
      <c r="J239" s="34"/>
    </row>
    <row r="240" ht="15.75" customHeight="1" spans="10:10">
      <c r="J240" s="34"/>
    </row>
    <row r="241" ht="15.75" customHeight="1" spans="10:10">
      <c r="J241" s="34"/>
    </row>
    <row r="242" ht="15.75" customHeight="1" spans="10:10">
      <c r="J242" s="34"/>
    </row>
    <row r="243" ht="15.75" customHeight="1" spans="10:10">
      <c r="J243" s="34"/>
    </row>
    <row r="244" ht="15.75" customHeight="1" spans="10:10">
      <c r="J244" s="34"/>
    </row>
    <row r="245" ht="15.75" customHeight="1" spans="10:10">
      <c r="J245" s="34"/>
    </row>
    <row r="246" ht="15.75" customHeight="1" spans="10:10">
      <c r="J246" s="34"/>
    </row>
    <row r="247" ht="15.75" customHeight="1" spans="10:10">
      <c r="J247" s="34"/>
    </row>
    <row r="248" ht="15.75" customHeight="1" spans="10:10">
      <c r="J248" s="34"/>
    </row>
    <row r="249" ht="15.75" customHeight="1" spans="10:10">
      <c r="J249" s="34"/>
    </row>
    <row r="250" ht="15.75" customHeight="1" spans="10:10">
      <c r="J250" s="34"/>
    </row>
    <row r="251" ht="15.75" customHeight="1" spans="10:10">
      <c r="J251" s="34"/>
    </row>
    <row r="252" ht="15.75" customHeight="1" spans="10:10">
      <c r="J252" s="34"/>
    </row>
    <row r="253" ht="15.75" customHeight="1" spans="10:10">
      <c r="J253" s="34"/>
    </row>
    <row r="254" ht="15.75" customHeight="1" spans="10:10">
      <c r="J254" s="34"/>
    </row>
    <row r="255" ht="15.75" customHeight="1" spans="10:10">
      <c r="J255" s="34"/>
    </row>
    <row r="256" ht="15.75" customHeight="1" spans="10:10">
      <c r="J256" s="34"/>
    </row>
    <row r="257" ht="15.75" customHeight="1" spans="10:10">
      <c r="J257" s="34"/>
    </row>
    <row r="258" ht="15.75" customHeight="1" spans="10:10">
      <c r="J258" s="34"/>
    </row>
    <row r="259" ht="15.75" customHeight="1" spans="10:10">
      <c r="J259" s="34"/>
    </row>
    <row r="260" ht="15.75" customHeight="1" spans="10:10">
      <c r="J260" s="34"/>
    </row>
    <row r="261" ht="15.75" customHeight="1" spans="10:10">
      <c r="J261" s="34"/>
    </row>
    <row r="262" ht="15.75" customHeight="1" spans="10:10">
      <c r="J262" s="34"/>
    </row>
    <row r="263" ht="15.75" customHeight="1" spans="10:10">
      <c r="J263" s="34"/>
    </row>
    <row r="264" ht="15.75" customHeight="1" spans="10:10">
      <c r="J264" s="34"/>
    </row>
    <row r="265" ht="15.75" customHeight="1" spans="10:10">
      <c r="J265" s="34"/>
    </row>
    <row r="266" ht="15.75" customHeight="1" spans="10:10">
      <c r="J266" s="34"/>
    </row>
    <row r="267" ht="15.75" customHeight="1" spans="10:10">
      <c r="J267" s="34"/>
    </row>
    <row r="268" ht="15.75" customHeight="1" spans="10:10">
      <c r="J268" s="34"/>
    </row>
    <row r="269" ht="15.75" customHeight="1" spans="10:10">
      <c r="J269" s="34"/>
    </row>
    <row r="270" ht="15.75" customHeight="1" spans="10:10">
      <c r="J270" s="34"/>
    </row>
    <row r="271" ht="15.75" customHeight="1" spans="10:10">
      <c r="J271" s="34"/>
    </row>
    <row r="272" ht="15.75" customHeight="1" spans="10:10">
      <c r="J272" s="34"/>
    </row>
    <row r="273" ht="15.75" customHeight="1" spans="10:10">
      <c r="J273" s="34"/>
    </row>
    <row r="274" ht="15.75" customHeight="1" spans="10:10">
      <c r="J274" s="34"/>
    </row>
    <row r="275" ht="15.75" customHeight="1" spans="10:10">
      <c r="J275" s="34"/>
    </row>
    <row r="276" ht="15.75" customHeight="1" spans="10:10">
      <c r="J276" s="34"/>
    </row>
    <row r="277" ht="15.75" customHeight="1" spans="10:10">
      <c r="J277" s="34"/>
    </row>
    <row r="278" ht="15.75" customHeight="1" spans="10:10">
      <c r="J278" s="34"/>
    </row>
    <row r="279" ht="15.75" customHeight="1" spans="10:10">
      <c r="J279" s="34"/>
    </row>
    <row r="280" ht="15.75" customHeight="1" spans="10:10">
      <c r="J280" s="34"/>
    </row>
    <row r="281" ht="15.75" customHeight="1" spans="10:10">
      <c r="J281" s="34"/>
    </row>
    <row r="282" ht="15.75" customHeight="1" spans="10:10">
      <c r="J282" s="34"/>
    </row>
    <row r="283" ht="15.75" customHeight="1" spans="10:10">
      <c r="J283" s="34"/>
    </row>
    <row r="284" ht="15.75" customHeight="1" spans="10:10">
      <c r="J284" s="34"/>
    </row>
    <row r="285" ht="15.75" customHeight="1" spans="10:10">
      <c r="J285" s="34"/>
    </row>
    <row r="286" ht="15.75" customHeight="1" spans="10:10">
      <c r="J286" s="34"/>
    </row>
    <row r="287" ht="15.75" customHeight="1" spans="10:10">
      <c r="J287" s="34"/>
    </row>
    <row r="288" ht="15.75" customHeight="1" spans="10:10">
      <c r="J288" s="34"/>
    </row>
    <row r="289" ht="15.75" customHeight="1" spans="10:10">
      <c r="J289" s="34"/>
    </row>
    <row r="290" ht="15.75" customHeight="1" spans="10:10">
      <c r="J290" s="34"/>
    </row>
    <row r="291" ht="15.75" customHeight="1" spans="10:10">
      <c r="J291" s="34"/>
    </row>
    <row r="292" ht="15.75" customHeight="1" spans="10:10">
      <c r="J292" s="34"/>
    </row>
    <row r="293" ht="15.75" customHeight="1" spans="10:10">
      <c r="J293" s="34"/>
    </row>
    <row r="294" ht="15.75" customHeight="1" spans="10:10">
      <c r="J294" s="34"/>
    </row>
    <row r="295" ht="15.75" customHeight="1" spans="10:10">
      <c r="J295" s="34"/>
    </row>
    <row r="296" ht="15.75" customHeight="1" spans="10:10">
      <c r="J296" s="34"/>
    </row>
    <row r="297" ht="15.75" customHeight="1" spans="10:10">
      <c r="J297" s="34"/>
    </row>
    <row r="298" ht="15.75" customHeight="1" spans="10:10">
      <c r="J298" s="34"/>
    </row>
    <row r="299" ht="15.75" customHeight="1" spans="10:10">
      <c r="J299" s="34"/>
    </row>
    <row r="300" ht="15.75" customHeight="1" spans="10:10">
      <c r="J300" s="34"/>
    </row>
    <row r="301" ht="15.75" customHeight="1" spans="10:10">
      <c r="J301" s="34"/>
    </row>
    <row r="302" ht="15.75" customHeight="1" spans="10:10">
      <c r="J302" s="34"/>
    </row>
    <row r="303" ht="15.75" customHeight="1" spans="10:10">
      <c r="J303" s="34"/>
    </row>
    <row r="304" ht="15.75" customHeight="1" spans="10:10">
      <c r="J304" s="34"/>
    </row>
    <row r="305" ht="15.75" customHeight="1" spans="10:10">
      <c r="J305" s="34"/>
    </row>
    <row r="306" ht="15.75" customHeight="1" spans="10:10">
      <c r="J306" s="34"/>
    </row>
    <row r="307" ht="15.75" customHeight="1" spans="10:10">
      <c r="J307" s="34"/>
    </row>
    <row r="308" ht="15.75" customHeight="1" spans="10:10">
      <c r="J308" s="34"/>
    </row>
    <row r="309" ht="15.75" customHeight="1" spans="10:10">
      <c r="J309" s="34"/>
    </row>
    <row r="310" ht="15.75" customHeight="1" spans="10:10">
      <c r="J310" s="34"/>
    </row>
    <row r="311" ht="15.75" customHeight="1" spans="10:10">
      <c r="J311" s="34"/>
    </row>
    <row r="312" ht="15.75" customHeight="1" spans="10:10">
      <c r="J312" s="34"/>
    </row>
    <row r="313" ht="15.75" customHeight="1" spans="10:10">
      <c r="J313" s="34"/>
    </row>
    <row r="314" ht="15.75" customHeight="1" spans="10:10">
      <c r="J314" s="34"/>
    </row>
    <row r="315" ht="15.75" customHeight="1" spans="10:10">
      <c r="J315" s="34"/>
    </row>
    <row r="316" ht="15.75" customHeight="1" spans="10:10">
      <c r="J316" s="34"/>
    </row>
    <row r="317" ht="15.75" customHeight="1" spans="10:10">
      <c r="J317" s="34"/>
    </row>
    <row r="318" ht="15.75" customHeight="1" spans="10:10">
      <c r="J318" s="34"/>
    </row>
    <row r="319" ht="15.75" customHeight="1" spans="10:10">
      <c r="J319" s="34"/>
    </row>
    <row r="320" ht="15.75" customHeight="1" spans="10:10">
      <c r="J320" s="34"/>
    </row>
    <row r="321" ht="15.75" customHeight="1" spans="10:10">
      <c r="J321" s="34"/>
    </row>
    <row r="322" ht="15.75" customHeight="1" spans="10:10">
      <c r="J322" s="34"/>
    </row>
    <row r="323" ht="15.75" customHeight="1" spans="10:10">
      <c r="J323" s="34"/>
    </row>
    <row r="324" ht="15.75" customHeight="1" spans="10:10">
      <c r="J324" s="34"/>
    </row>
    <row r="325" ht="15.75" customHeight="1" spans="10:10">
      <c r="J325" s="34"/>
    </row>
    <row r="326" ht="15.75" customHeight="1" spans="10:10">
      <c r="J326" s="34"/>
    </row>
    <row r="327" ht="15.75" customHeight="1" spans="10:10">
      <c r="J327" s="34"/>
    </row>
    <row r="328" ht="15.75" customHeight="1" spans="10:10">
      <c r="J328" s="34"/>
    </row>
    <row r="329" ht="15.75" customHeight="1" spans="10:10">
      <c r="J329" s="34"/>
    </row>
    <row r="330" ht="15.75" customHeight="1" spans="10:10">
      <c r="J330" s="34"/>
    </row>
    <row r="331" ht="15.75" customHeight="1" spans="10:10">
      <c r="J331" s="34"/>
    </row>
    <row r="332" ht="15.75" customHeight="1" spans="10:10">
      <c r="J332" s="34"/>
    </row>
    <row r="333" ht="15.75" customHeight="1" spans="10:10">
      <c r="J333" s="34"/>
    </row>
    <row r="334" ht="15.75" customHeight="1" spans="10:10">
      <c r="J334" s="34"/>
    </row>
    <row r="335" ht="15.75" customHeight="1" spans="10:10">
      <c r="J335" s="34"/>
    </row>
    <row r="336" ht="15.75" customHeight="1" spans="10:10">
      <c r="J336" s="34"/>
    </row>
    <row r="337" ht="15.75" customHeight="1" spans="10:10">
      <c r="J337" s="34"/>
    </row>
    <row r="338" ht="15.75" customHeight="1" spans="10:10">
      <c r="J338" s="34"/>
    </row>
    <row r="339" ht="15.75" customHeight="1" spans="10:10">
      <c r="J339" s="34"/>
    </row>
    <row r="340" ht="15.75" customHeight="1" spans="10:10">
      <c r="J340" s="34"/>
    </row>
    <row r="341" ht="15.75" customHeight="1" spans="10:10">
      <c r="J341" s="34"/>
    </row>
    <row r="342" ht="15.75" customHeight="1" spans="10:10">
      <c r="J342" s="34"/>
    </row>
    <row r="343" ht="15.75" customHeight="1" spans="10:10">
      <c r="J343" s="34"/>
    </row>
    <row r="344" ht="15.75" customHeight="1" spans="10:10">
      <c r="J344" s="34"/>
    </row>
    <row r="345" ht="15.75" customHeight="1" spans="10:10">
      <c r="J345" s="34"/>
    </row>
    <row r="346" ht="15.75" customHeight="1" spans="10:10">
      <c r="J346" s="34"/>
    </row>
    <row r="347" ht="15.75" customHeight="1" spans="10:10">
      <c r="J347" s="34"/>
    </row>
    <row r="348" ht="15.75" customHeight="1" spans="10:10">
      <c r="J348" s="34"/>
    </row>
    <row r="349" ht="15.75" customHeight="1" spans="10:10">
      <c r="J349" s="34"/>
    </row>
    <row r="350" ht="15.75" customHeight="1" spans="10:10">
      <c r="J350" s="34"/>
    </row>
    <row r="351" ht="15.75" customHeight="1" spans="10:10">
      <c r="J351" s="34"/>
    </row>
    <row r="352" ht="15.75" customHeight="1" spans="10:10">
      <c r="J352" s="34"/>
    </row>
    <row r="353" ht="15.75" customHeight="1" spans="10:10">
      <c r="J353" s="34"/>
    </row>
    <row r="354" ht="15.75" customHeight="1" spans="10:10">
      <c r="J354" s="34"/>
    </row>
    <row r="355" ht="15.75" customHeight="1" spans="10:10">
      <c r="J355" s="34"/>
    </row>
    <row r="356" ht="15.75" customHeight="1" spans="10:10">
      <c r="J356" s="34"/>
    </row>
    <row r="357" ht="15.75" customHeight="1" spans="10:10">
      <c r="J357" s="34"/>
    </row>
    <row r="358" ht="15.75" customHeight="1" spans="10:10">
      <c r="J358" s="34"/>
    </row>
    <row r="359" ht="15.75" customHeight="1" spans="10:10">
      <c r="J359" s="34"/>
    </row>
    <row r="360" ht="15.75" customHeight="1" spans="10:10">
      <c r="J360" s="34"/>
    </row>
    <row r="361" ht="15.75" customHeight="1" spans="10:10">
      <c r="J361" s="34"/>
    </row>
    <row r="362" ht="15.75" customHeight="1" spans="10:10">
      <c r="J362" s="34"/>
    </row>
    <row r="363" ht="15.75" customHeight="1" spans="10:10">
      <c r="J363" s="34"/>
    </row>
    <row r="364" ht="15.75" customHeight="1" spans="10:10">
      <c r="J364" s="34"/>
    </row>
    <row r="365" ht="15.75" customHeight="1" spans="10:10">
      <c r="J365" s="34"/>
    </row>
    <row r="366" ht="15.75" customHeight="1" spans="10:10">
      <c r="J366" s="34"/>
    </row>
    <row r="367" ht="15.75" customHeight="1" spans="10:10">
      <c r="J367" s="34"/>
    </row>
    <row r="368" ht="15.75" customHeight="1" spans="10:10">
      <c r="J368" s="34"/>
    </row>
    <row r="369" ht="15.75" customHeight="1" spans="10:10">
      <c r="J369" s="34"/>
    </row>
    <row r="370" ht="15.75" customHeight="1" spans="10:10">
      <c r="J370" s="34"/>
    </row>
    <row r="371" ht="15.75" customHeight="1" spans="10:10">
      <c r="J371" s="34"/>
    </row>
    <row r="372" ht="15.75" customHeight="1" spans="10:10">
      <c r="J372" s="34"/>
    </row>
    <row r="373" ht="15.75" customHeight="1" spans="10:10">
      <c r="J373" s="34"/>
    </row>
    <row r="374" ht="15.75" customHeight="1" spans="10:10">
      <c r="J374" s="34"/>
    </row>
    <row r="375" ht="15.75" customHeight="1" spans="10:10">
      <c r="J375" s="34"/>
    </row>
    <row r="376" ht="15.75" customHeight="1" spans="10:10">
      <c r="J376" s="34"/>
    </row>
    <row r="377" ht="15.75" customHeight="1" spans="10:10">
      <c r="J377" s="34"/>
    </row>
    <row r="378" ht="15.75" customHeight="1" spans="10:10">
      <c r="J378" s="34"/>
    </row>
    <row r="379" ht="15.75" customHeight="1" spans="10:10">
      <c r="J379" s="34"/>
    </row>
    <row r="380" ht="15.75" customHeight="1" spans="10:10">
      <c r="J380" s="34"/>
    </row>
    <row r="381" ht="15.75" customHeight="1" spans="10:10">
      <c r="J381" s="34"/>
    </row>
    <row r="382" ht="15.75" customHeight="1" spans="10:10">
      <c r="J382" s="34"/>
    </row>
    <row r="383" ht="15.75" customHeight="1" spans="10:10">
      <c r="J383" s="34"/>
    </row>
    <row r="384" ht="15.75" customHeight="1" spans="10:10">
      <c r="J384" s="34"/>
    </row>
    <row r="385" ht="15.75" customHeight="1" spans="10:10">
      <c r="J385" s="34"/>
    </row>
    <row r="386" ht="15.75" customHeight="1" spans="10:10">
      <c r="J386" s="34"/>
    </row>
    <row r="387" ht="15.75" customHeight="1" spans="10:10">
      <c r="J387" s="34"/>
    </row>
    <row r="388" ht="15.75" customHeight="1" spans="10:10">
      <c r="J388" s="34"/>
    </row>
    <row r="389" ht="15.75" customHeight="1" spans="10:10">
      <c r="J389" s="34"/>
    </row>
    <row r="390" ht="15.75" customHeight="1" spans="10:10">
      <c r="J390" s="34"/>
    </row>
    <row r="391" ht="15.75" customHeight="1" spans="10:10">
      <c r="J391" s="34"/>
    </row>
    <row r="392" ht="15.75" customHeight="1" spans="10:10">
      <c r="J392" s="34"/>
    </row>
    <row r="393" ht="15.75" customHeight="1" spans="10:10">
      <c r="J393" s="34"/>
    </row>
    <row r="394" ht="15.75" customHeight="1" spans="10:10">
      <c r="J394" s="34"/>
    </row>
    <row r="395" ht="15.75" customHeight="1" spans="10:10">
      <c r="J395" s="34"/>
    </row>
    <row r="396" ht="15.75" customHeight="1" spans="10:10">
      <c r="J396" s="34"/>
    </row>
    <row r="397" ht="15.75" customHeight="1" spans="10:10">
      <c r="J397" s="34"/>
    </row>
    <row r="398" ht="15.75" customHeight="1" spans="10:10">
      <c r="J398" s="34"/>
    </row>
    <row r="399" ht="15.75" customHeight="1" spans="10:10">
      <c r="J399" s="34"/>
    </row>
    <row r="400" ht="15.75" customHeight="1" spans="10:10">
      <c r="J400" s="34"/>
    </row>
    <row r="401" ht="15.75" customHeight="1" spans="10:10">
      <c r="J401" s="34"/>
    </row>
    <row r="402" ht="15.75" customHeight="1" spans="10:10">
      <c r="J402" s="34"/>
    </row>
    <row r="403" ht="15.75" customHeight="1" spans="10:10">
      <c r="J403" s="34"/>
    </row>
    <row r="404" ht="15.75" customHeight="1" spans="10:10">
      <c r="J404" s="34"/>
    </row>
    <row r="405" ht="15.75" customHeight="1" spans="10:10">
      <c r="J405" s="34"/>
    </row>
    <row r="406" ht="15.75" customHeight="1" spans="10:10">
      <c r="J406" s="34"/>
    </row>
    <row r="407" ht="15.75" customHeight="1" spans="10:10">
      <c r="J407" s="34"/>
    </row>
    <row r="408" ht="15.75" customHeight="1" spans="10:10">
      <c r="J408" s="34"/>
    </row>
    <row r="409" ht="15.75" customHeight="1" spans="10:10">
      <c r="J409" s="34"/>
    </row>
    <row r="410" ht="15.75" customHeight="1" spans="10:10">
      <c r="J410" s="34"/>
    </row>
    <row r="411" ht="15.75" customHeight="1" spans="10:10">
      <c r="J411" s="34"/>
    </row>
    <row r="412" ht="15.75" customHeight="1" spans="10:10">
      <c r="J412" s="34"/>
    </row>
    <row r="413" ht="15.75" customHeight="1" spans="10:10">
      <c r="J413" s="34"/>
    </row>
    <row r="414" ht="15.75" customHeight="1" spans="10:10">
      <c r="J414" s="34"/>
    </row>
    <row r="415" ht="15.75" customHeight="1" spans="10:10">
      <c r="J415" s="34"/>
    </row>
    <row r="416" ht="15.75" customHeight="1" spans="10:10">
      <c r="J416" s="34"/>
    </row>
    <row r="417" ht="15.75" customHeight="1" spans="10:10">
      <c r="J417" s="34"/>
    </row>
    <row r="418" ht="15.75" customHeight="1" spans="10:10">
      <c r="J418" s="34"/>
    </row>
    <row r="419" ht="15.75" customHeight="1" spans="10:10">
      <c r="J419" s="34"/>
    </row>
    <row r="420" ht="15.75" customHeight="1" spans="10:10">
      <c r="J420" s="34"/>
    </row>
    <row r="421" ht="15.75" customHeight="1" spans="10:10">
      <c r="J421" s="34"/>
    </row>
    <row r="422" ht="15.75" customHeight="1" spans="10:10">
      <c r="J422" s="34"/>
    </row>
    <row r="423" ht="15.75" customHeight="1" spans="10:10">
      <c r="J423" s="34"/>
    </row>
    <row r="424" ht="15.75" customHeight="1" spans="10:10">
      <c r="J424" s="34"/>
    </row>
    <row r="425" ht="15.75" customHeight="1" spans="10:10">
      <c r="J425" s="34"/>
    </row>
    <row r="426" ht="15.75" customHeight="1" spans="10:10">
      <c r="J426" s="34"/>
    </row>
    <row r="427" ht="15.75" customHeight="1" spans="10:10">
      <c r="J427" s="34"/>
    </row>
    <row r="428" ht="15.75" customHeight="1" spans="10:10">
      <c r="J428" s="34"/>
    </row>
    <row r="429" ht="15.75" customHeight="1" spans="10:10">
      <c r="J429" s="34"/>
    </row>
    <row r="430" ht="15.75" customHeight="1" spans="10:10">
      <c r="J430" s="34"/>
    </row>
    <row r="431" ht="15.75" customHeight="1" spans="10:10">
      <c r="J431" s="34"/>
    </row>
    <row r="432" ht="15.75" customHeight="1" spans="10:10">
      <c r="J432" s="34"/>
    </row>
    <row r="433" ht="15.75" customHeight="1" spans="10:10">
      <c r="J433" s="34"/>
    </row>
    <row r="434" ht="15.75" customHeight="1" spans="10:10">
      <c r="J434" s="34"/>
    </row>
    <row r="435" ht="15.75" customHeight="1" spans="10:10">
      <c r="J435" s="34"/>
    </row>
    <row r="436" ht="15.75" customHeight="1" spans="10:10">
      <c r="J436" s="34"/>
    </row>
    <row r="437" ht="15.75" customHeight="1" spans="10:10">
      <c r="J437" s="34"/>
    </row>
    <row r="438" ht="15.75" customHeight="1" spans="10:10">
      <c r="J438" s="34"/>
    </row>
    <row r="439" ht="15.75" customHeight="1" spans="10:10">
      <c r="J439" s="34"/>
    </row>
    <row r="440" ht="15.75" customHeight="1" spans="10:10">
      <c r="J440" s="34"/>
    </row>
    <row r="441" ht="15.75" customHeight="1" spans="10:10">
      <c r="J441" s="34"/>
    </row>
    <row r="442" ht="15.75" customHeight="1" spans="10:10">
      <c r="J442" s="34"/>
    </row>
    <row r="443" ht="15.75" customHeight="1" spans="10:10">
      <c r="J443" s="34"/>
    </row>
    <row r="444" ht="15.75" customHeight="1" spans="10:10">
      <c r="J444" s="34"/>
    </row>
    <row r="445" ht="15.75" customHeight="1" spans="10:10">
      <c r="J445" s="34"/>
    </row>
    <row r="446" ht="15.75" customHeight="1" spans="10:10">
      <c r="J446" s="34"/>
    </row>
    <row r="447" ht="15.75" customHeight="1" spans="10:10">
      <c r="J447" s="34"/>
    </row>
    <row r="448" ht="15.75" customHeight="1" spans="10:10">
      <c r="J448" s="34"/>
    </row>
    <row r="449" ht="15.75" customHeight="1" spans="10:10">
      <c r="J449" s="34"/>
    </row>
    <row r="450" ht="15.75" customHeight="1" spans="10:10">
      <c r="J450" s="34"/>
    </row>
    <row r="451" ht="15.75" customHeight="1" spans="10:10">
      <c r="J451" s="34"/>
    </row>
    <row r="452" ht="15.75" customHeight="1" spans="10:10">
      <c r="J452" s="34"/>
    </row>
    <row r="453" ht="15.75" customHeight="1" spans="10:10">
      <c r="J453" s="34"/>
    </row>
    <row r="454" ht="15.75" customHeight="1" spans="10:10">
      <c r="J454" s="34"/>
    </row>
    <row r="455" ht="15.75" customHeight="1" spans="10:10">
      <c r="J455" s="34"/>
    </row>
    <row r="456" ht="15.75" customHeight="1" spans="10:10">
      <c r="J456" s="34"/>
    </row>
    <row r="457" ht="15.75" customHeight="1" spans="10:10">
      <c r="J457" s="34"/>
    </row>
    <row r="458" ht="15.75" customHeight="1" spans="10:10">
      <c r="J458" s="34"/>
    </row>
    <row r="459" ht="15.75" customHeight="1" spans="10:10">
      <c r="J459" s="34"/>
    </row>
    <row r="460" ht="15.75" customHeight="1" spans="10:10">
      <c r="J460" s="34"/>
    </row>
    <row r="461" ht="15.75" customHeight="1" spans="10:10">
      <c r="J461" s="34"/>
    </row>
    <row r="462" ht="15.75" customHeight="1" spans="10:10">
      <c r="J462" s="34"/>
    </row>
    <row r="463" ht="15.75" customHeight="1" spans="10:10">
      <c r="J463" s="34"/>
    </row>
    <row r="464" ht="15.75" customHeight="1" spans="10:10">
      <c r="J464" s="34"/>
    </row>
    <row r="465" ht="15.75" customHeight="1" spans="10:10">
      <c r="J465" s="34"/>
    </row>
    <row r="466" ht="15.75" customHeight="1" spans="10:10">
      <c r="J466" s="34"/>
    </row>
    <row r="467" ht="15.75" customHeight="1" spans="10:10">
      <c r="J467" s="34"/>
    </row>
    <row r="468" ht="15.75" customHeight="1" spans="10:10">
      <c r="J468" s="34"/>
    </row>
    <row r="469" ht="15.75" customHeight="1" spans="10:10">
      <c r="J469" s="34"/>
    </row>
    <row r="470" ht="15.75" customHeight="1" spans="10:10">
      <c r="J470" s="34"/>
    </row>
    <row r="471" ht="15.75" customHeight="1" spans="10:10">
      <c r="J471" s="34"/>
    </row>
    <row r="472" ht="15.75" customHeight="1" spans="10:10">
      <c r="J472" s="34"/>
    </row>
    <row r="473" ht="15.75" customHeight="1" spans="10:10">
      <c r="J473" s="34"/>
    </row>
    <row r="474" ht="15.75" customHeight="1" spans="10:10">
      <c r="J474" s="34"/>
    </row>
    <row r="475" ht="15.75" customHeight="1" spans="10:10">
      <c r="J475" s="34"/>
    </row>
    <row r="476" ht="15.75" customHeight="1" spans="10:10">
      <c r="J476" s="34"/>
    </row>
    <row r="477" ht="15.75" customHeight="1" spans="10:10">
      <c r="J477" s="34"/>
    </row>
    <row r="478" ht="15.75" customHeight="1" spans="10:10">
      <c r="J478" s="34"/>
    </row>
    <row r="479" ht="15.75" customHeight="1" spans="10:10">
      <c r="J479" s="34"/>
    </row>
    <row r="480" ht="15.75" customHeight="1" spans="10:10">
      <c r="J480" s="34"/>
    </row>
    <row r="481" ht="15.75" customHeight="1" spans="10:10">
      <c r="J481" s="34"/>
    </row>
    <row r="482" ht="15.75" customHeight="1" spans="10:10">
      <c r="J482" s="34"/>
    </row>
    <row r="483" ht="15.75" customHeight="1" spans="10:10">
      <c r="J483" s="34"/>
    </row>
    <row r="484" ht="15.75" customHeight="1" spans="10:10">
      <c r="J484" s="34"/>
    </row>
    <row r="485" ht="15.75" customHeight="1" spans="10:10">
      <c r="J485" s="34"/>
    </row>
    <row r="486" ht="15.75" customHeight="1" spans="10:10">
      <c r="J486" s="34"/>
    </row>
    <row r="487" ht="15.75" customHeight="1" spans="10:10">
      <c r="J487" s="34"/>
    </row>
    <row r="488" ht="15.75" customHeight="1" spans="10:10">
      <c r="J488" s="34"/>
    </row>
    <row r="489" ht="15.75" customHeight="1" spans="10:10">
      <c r="J489" s="34"/>
    </row>
    <row r="490" ht="15.75" customHeight="1" spans="10:10">
      <c r="J490" s="34"/>
    </row>
    <row r="491" ht="15.75" customHeight="1" spans="10:10">
      <c r="J491" s="34"/>
    </row>
    <row r="492" ht="15.75" customHeight="1" spans="10:10">
      <c r="J492" s="34"/>
    </row>
    <row r="493" ht="15.75" customHeight="1" spans="10:10">
      <c r="J493" s="34"/>
    </row>
    <row r="494" ht="15.75" customHeight="1" spans="10:10">
      <c r="J494" s="34"/>
    </row>
    <row r="495" ht="15.75" customHeight="1" spans="10:10">
      <c r="J495" s="34"/>
    </row>
    <row r="496" ht="15.75" customHeight="1" spans="10:10">
      <c r="J496" s="34"/>
    </row>
    <row r="497" ht="15.75" customHeight="1" spans="10:10">
      <c r="J497" s="34"/>
    </row>
    <row r="498" ht="15.75" customHeight="1" spans="10:10">
      <c r="J498" s="34"/>
    </row>
    <row r="499" ht="15.75" customHeight="1" spans="10:10">
      <c r="J499" s="34"/>
    </row>
    <row r="500" ht="15.75" customHeight="1" spans="10:10">
      <c r="J500" s="34"/>
    </row>
    <row r="501" ht="15.75" customHeight="1" spans="10:10">
      <c r="J501" s="34"/>
    </row>
    <row r="502" ht="15.75" customHeight="1" spans="10:10">
      <c r="J502" s="34"/>
    </row>
    <row r="503" ht="15.75" customHeight="1" spans="10:10">
      <c r="J503" s="34"/>
    </row>
    <row r="504" ht="15.75" customHeight="1" spans="10:10">
      <c r="J504" s="34"/>
    </row>
    <row r="505" ht="15.75" customHeight="1" spans="10:10">
      <c r="J505" s="34"/>
    </row>
    <row r="506" ht="15.75" customHeight="1" spans="10:10">
      <c r="J506" s="34"/>
    </row>
    <row r="507" ht="15.75" customHeight="1" spans="10:10">
      <c r="J507" s="34"/>
    </row>
    <row r="508" ht="15.75" customHeight="1" spans="10:10">
      <c r="J508" s="34"/>
    </row>
    <row r="509" ht="15.75" customHeight="1" spans="10:10">
      <c r="J509" s="34"/>
    </row>
    <row r="510" ht="15.75" customHeight="1" spans="10:10">
      <c r="J510" s="34"/>
    </row>
    <row r="511" ht="15.75" customHeight="1" spans="10:10">
      <c r="J511" s="34"/>
    </row>
    <row r="512" ht="15.75" customHeight="1" spans="10:10">
      <c r="J512" s="34"/>
    </row>
    <row r="513" ht="15.75" customHeight="1" spans="10:10">
      <c r="J513" s="34"/>
    </row>
    <row r="514" ht="15.75" customHeight="1" spans="10:10">
      <c r="J514" s="34"/>
    </row>
    <row r="515" ht="15.75" customHeight="1" spans="10:10">
      <c r="J515" s="34"/>
    </row>
    <row r="516" ht="15.75" customHeight="1" spans="10:10">
      <c r="J516" s="34"/>
    </row>
    <row r="517" ht="15.75" customHeight="1" spans="10:10">
      <c r="J517" s="34"/>
    </row>
    <row r="518" ht="15.75" customHeight="1" spans="10:10">
      <c r="J518" s="34"/>
    </row>
    <row r="519" ht="15.75" customHeight="1" spans="10:10">
      <c r="J519" s="34"/>
    </row>
    <row r="520" ht="15.75" customHeight="1" spans="10:10">
      <c r="J520" s="34"/>
    </row>
    <row r="521" ht="15.75" customHeight="1" spans="10:10">
      <c r="J521" s="34"/>
    </row>
    <row r="522" ht="15.75" customHeight="1" spans="10:10">
      <c r="J522" s="34"/>
    </row>
    <row r="523" ht="15.75" customHeight="1" spans="10:10">
      <c r="J523" s="34"/>
    </row>
    <row r="524" ht="15.75" customHeight="1" spans="10:10">
      <c r="J524" s="34"/>
    </row>
    <row r="525" ht="15.75" customHeight="1" spans="10:10">
      <c r="J525" s="34"/>
    </row>
    <row r="526" ht="15.75" customHeight="1" spans="10:10">
      <c r="J526" s="34"/>
    </row>
    <row r="527" ht="15.75" customHeight="1" spans="10:10">
      <c r="J527" s="34"/>
    </row>
    <row r="528" ht="15.75" customHeight="1" spans="10:10">
      <c r="J528" s="34"/>
    </row>
    <row r="529" ht="15.75" customHeight="1" spans="10:10">
      <c r="J529" s="34"/>
    </row>
    <row r="530" ht="15.75" customHeight="1" spans="10:10">
      <c r="J530" s="34"/>
    </row>
    <row r="531" ht="15.75" customHeight="1" spans="10:10">
      <c r="J531" s="34"/>
    </row>
    <row r="532" ht="15.75" customHeight="1" spans="10:10">
      <c r="J532" s="34"/>
    </row>
    <row r="533" ht="15.75" customHeight="1" spans="10:10">
      <c r="J533" s="34"/>
    </row>
    <row r="534" ht="15.75" customHeight="1" spans="10:10">
      <c r="J534" s="34"/>
    </row>
    <row r="535" ht="15.75" customHeight="1" spans="10:10">
      <c r="J535" s="34"/>
    </row>
    <row r="536" ht="15.75" customHeight="1" spans="10:10">
      <c r="J536" s="34"/>
    </row>
    <row r="537" ht="15.75" customHeight="1" spans="10:10">
      <c r="J537" s="34"/>
    </row>
    <row r="538" ht="15.75" customHeight="1" spans="10:10">
      <c r="J538" s="34"/>
    </row>
    <row r="539" ht="15.75" customHeight="1" spans="10:10">
      <c r="J539" s="34"/>
    </row>
    <row r="540" ht="15.75" customHeight="1" spans="10:10">
      <c r="J540" s="34"/>
    </row>
    <row r="541" ht="15.75" customHeight="1" spans="10:10">
      <c r="J541" s="34"/>
    </row>
    <row r="542" ht="15.75" customHeight="1" spans="10:10">
      <c r="J542" s="34"/>
    </row>
    <row r="543" ht="15.75" customHeight="1" spans="10:10">
      <c r="J543" s="34"/>
    </row>
    <row r="544" ht="15.75" customHeight="1" spans="10:10">
      <c r="J544" s="34"/>
    </row>
    <row r="545" ht="15.75" customHeight="1" spans="10:10">
      <c r="J545" s="34"/>
    </row>
    <row r="546" ht="15.75" customHeight="1" spans="10:10">
      <c r="J546" s="34"/>
    </row>
    <row r="547" ht="15.75" customHeight="1" spans="10:10">
      <c r="J547" s="34"/>
    </row>
    <row r="548" ht="15.75" customHeight="1" spans="10:10">
      <c r="J548" s="34"/>
    </row>
    <row r="549" ht="15.75" customHeight="1" spans="10:10">
      <c r="J549" s="34"/>
    </row>
    <row r="550" ht="15.75" customHeight="1" spans="10:10">
      <c r="J550" s="34"/>
    </row>
    <row r="551" ht="15.75" customHeight="1" spans="10:10">
      <c r="J551" s="34"/>
    </row>
    <row r="552" ht="15.75" customHeight="1" spans="10:10">
      <c r="J552" s="34"/>
    </row>
    <row r="553" ht="15.75" customHeight="1" spans="10:10">
      <c r="J553" s="34"/>
    </row>
    <row r="554" ht="15.75" customHeight="1" spans="10:10">
      <c r="J554" s="34"/>
    </row>
    <row r="555" ht="15.75" customHeight="1" spans="10:10">
      <c r="J555" s="34"/>
    </row>
    <row r="556" ht="15.75" customHeight="1" spans="10:10">
      <c r="J556" s="34"/>
    </row>
    <row r="557" ht="15.75" customHeight="1" spans="10:10">
      <c r="J557" s="34"/>
    </row>
    <row r="558" ht="15.75" customHeight="1" spans="10:10">
      <c r="J558" s="34"/>
    </row>
    <row r="559" ht="15.75" customHeight="1" spans="10:10">
      <c r="J559" s="34"/>
    </row>
    <row r="560" ht="15.75" customHeight="1" spans="10:10">
      <c r="J560" s="34"/>
    </row>
    <row r="561" ht="15.75" customHeight="1" spans="10:10">
      <c r="J561" s="34"/>
    </row>
    <row r="562" ht="15.75" customHeight="1" spans="10:10">
      <c r="J562" s="34"/>
    </row>
    <row r="563" ht="15.75" customHeight="1" spans="10:10">
      <c r="J563" s="34"/>
    </row>
    <row r="564" ht="15.75" customHeight="1" spans="10:10">
      <c r="J564" s="34"/>
    </row>
    <row r="565" ht="15.75" customHeight="1" spans="10:10">
      <c r="J565" s="34"/>
    </row>
    <row r="566" ht="15.75" customHeight="1" spans="10:10">
      <c r="J566" s="34"/>
    </row>
    <row r="567" ht="15.75" customHeight="1" spans="10:10">
      <c r="J567" s="34"/>
    </row>
    <row r="568" ht="15.75" customHeight="1" spans="10:10">
      <c r="J568" s="34"/>
    </row>
    <row r="569" ht="15.75" customHeight="1" spans="10:10">
      <c r="J569" s="34"/>
    </row>
    <row r="570" ht="15.75" customHeight="1" spans="10:10">
      <c r="J570" s="34"/>
    </row>
    <row r="571" ht="15.75" customHeight="1" spans="10:10">
      <c r="J571" s="34"/>
    </row>
    <row r="572" ht="15.75" customHeight="1" spans="10:10">
      <c r="J572" s="34"/>
    </row>
    <row r="573" ht="15.75" customHeight="1" spans="10:10">
      <c r="J573" s="34"/>
    </row>
    <row r="574" ht="15.75" customHeight="1" spans="10:10">
      <c r="J574" s="34"/>
    </row>
    <row r="575" ht="15.75" customHeight="1" spans="10:10">
      <c r="J575" s="34"/>
    </row>
    <row r="576" ht="15.75" customHeight="1" spans="10:10">
      <c r="J576" s="34"/>
    </row>
    <row r="577" ht="15.75" customHeight="1" spans="10:10">
      <c r="J577" s="34"/>
    </row>
    <row r="578" ht="15.75" customHeight="1" spans="10:10">
      <c r="J578" s="34"/>
    </row>
    <row r="579" ht="15.75" customHeight="1" spans="10:10">
      <c r="J579" s="34"/>
    </row>
    <row r="580" ht="15.75" customHeight="1" spans="10:10">
      <c r="J580" s="34"/>
    </row>
    <row r="581" ht="15.75" customHeight="1" spans="10:10">
      <c r="J581" s="34"/>
    </row>
    <row r="582" ht="15.75" customHeight="1" spans="10:10">
      <c r="J582" s="34"/>
    </row>
    <row r="583" ht="15.75" customHeight="1" spans="10:10">
      <c r="J583" s="34"/>
    </row>
    <row r="584" ht="15.75" customHeight="1" spans="10:10">
      <c r="J584" s="34"/>
    </row>
    <row r="585" ht="15.75" customHeight="1" spans="10:10">
      <c r="J585" s="34"/>
    </row>
    <row r="586" ht="15.75" customHeight="1" spans="10:10">
      <c r="J586" s="34"/>
    </row>
    <row r="587" ht="15.75" customHeight="1" spans="10:10">
      <c r="J587" s="34"/>
    </row>
    <row r="588" ht="15.75" customHeight="1" spans="10:10">
      <c r="J588" s="34"/>
    </row>
    <row r="589" ht="15.75" customHeight="1" spans="10:10">
      <c r="J589" s="34"/>
    </row>
    <row r="590" ht="15.75" customHeight="1" spans="10:10">
      <c r="J590" s="34"/>
    </row>
    <row r="591" ht="15.75" customHeight="1" spans="10:10">
      <c r="J591" s="34"/>
    </row>
    <row r="592" ht="15.75" customHeight="1" spans="10:10">
      <c r="J592" s="34"/>
    </row>
    <row r="593" ht="15.75" customHeight="1" spans="10:10">
      <c r="J593" s="34"/>
    </row>
    <row r="594" ht="15.75" customHeight="1" spans="10:10">
      <c r="J594" s="34"/>
    </row>
    <row r="595" ht="15.75" customHeight="1" spans="10:10">
      <c r="J595" s="34"/>
    </row>
    <row r="596" ht="15.75" customHeight="1" spans="10:10">
      <c r="J596" s="34"/>
    </row>
    <row r="597" ht="15.75" customHeight="1" spans="10:10">
      <c r="J597" s="34"/>
    </row>
    <row r="598" ht="15.75" customHeight="1" spans="10:10">
      <c r="J598" s="34"/>
    </row>
    <row r="599" ht="15.75" customHeight="1" spans="10:10">
      <c r="J599" s="34"/>
    </row>
    <row r="600" ht="15.75" customHeight="1" spans="10:10">
      <c r="J600" s="34"/>
    </row>
    <row r="601" ht="15.75" customHeight="1" spans="10:10">
      <c r="J601" s="34"/>
    </row>
    <row r="602" ht="15.75" customHeight="1" spans="10:10">
      <c r="J602" s="34"/>
    </row>
    <row r="603" ht="15.75" customHeight="1" spans="10:10">
      <c r="J603" s="34"/>
    </row>
    <row r="604" ht="15.75" customHeight="1" spans="10:10">
      <c r="J604" s="34"/>
    </row>
    <row r="605" ht="15.75" customHeight="1" spans="10:10">
      <c r="J605" s="34"/>
    </row>
    <row r="606" ht="15.75" customHeight="1" spans="10:10">
      <c r="J606" s="34"/>
    </row>
    <row r="607" ht="15.75" customHeight="1" spans="10:10">
      <c r="J607" s="34"/>
    </row>
    <row r="608" ht="15.75" customHeight="1" spans="10:10">
      <c r="J608" s="34"/>
    </row>
    <row r="609" ht="15.75" customHeight="1" spans="10:10">
      <c r="J609" s="34"/>
    </row>
    <row r="610" ht="15.75" customHeight="1" spans="10:10">
      <c r="J610" s="34"/>
    </row>
    <row r="611" ht="15.75" customHeight="1" spans="10:10">
      <c r="J611" s="34"/>
    </row>
    <row r="612" ht="15.75" customHeight="1" spans="10:10">
      <c r="J612" s="34"/>
    </row>
    <row r="613" ht="15.75" customHeight="1" spans="10:10">
      <c r="J613" s="34"/>
    </row>
    <row r="614" ht="15.75" customHeight="1" spans="10:10">
      <c r="J614" s="34"/>
    </row>
    <row r="615" ht="15.75" customHeight="1" spans="10:10">
      <c r="J615" s="34"/>
    </row>
    <row r="616" ht="15.75" customHeight="1" spans="10:10">
      <c r="J616" s="34"/>
    </row>
    <row r="617" ht="15.75" customHeight="1" spans="10:10">
      <c r="J617" s="34"/>
    </row>
    <row r="618" ht="15.75" customHeight="1" spans="10:10">
      <c r="J618" s="34"/>
    </row>
    <row r="619" ht="15.75" customHeight="1" spans="10:10">
      <c r="J619" s="34"/>
    </row>
    <row r="620" ht="15.75" customHeight="1" spans="10:10">
      <c r="J620" s="34"/>
    </row>
    <row r="621" ht="15.75" customHeight="1" spans="10:10">
      <c r="J621" s="34"/>
    </row>
    <row r="622" ht="15.75" customHeight="1" spans="10:10">
      <c r="J622" s="34"/>
    </row>
    <row r="623" ht="15.75" customHeight="1" spans="10:10">
      <c r="J623" s="34"/>
    </row>
    <row r="624" ht="15.75" customHeight="1" spans="10:10">
      <c r="J624" s="34"/>
    </row>
    <row r="625" ht="15.75" customHeight="1" spans="10:10">
      <c r="J625" s="34"/>
    </row>
    <row r="626" ht="15.75" customHeight="1" spans="10:10">
      <c r="J626" s="34"/>
    </row>
    <row r="627" ht="15.75" customHeight="1" spans="10:10">
      <c r="J627" s="34"/>
    </row>
    <row r="628" ht="15.75" customHeight="1" spans="10:10">
      <c r="J628" s="34"/>
    </row>
    <row r="629" ht="15.75" customHeight="1" spans="10:10">
      <c r="J629" s="34"/>
    </row>
    <row r="630" ht="15.75" customHeight="1" spans="10:10">
      <c r="J630" s="34"/>
    </row>
    <row r="631" ht="15.75" customHeight="1" spans="10:10">
      <c r="J631" s="34"/>
    </row>
    <row r="632" ht="15.75" customHeight="1" spans="10:10">
      <c r="J632" s="34"/>
    </row>
    <row r="633" ht="15.75" customHeight="1" spans="10:10">
      <c r="J633" s="34"/>
    </row>
    <row r="634" ht="15.75" customHeight="1" spans="10:10">
      <c r="J634" s="34"/>
    </row>
    <row r="635" ht="15.75" customHeight="1" spans="10:10">
      <c r="J635" s="34"/>
    </row>
    <row r="636" ht="15.75" customHeight="1" spans="10:10">
      <c r="J636" s="34"/>
    </row>
    <row r="637" ht="15.75" customHeight="1" spans="10:10">
      <c r="J637" s="34"/>
    </row>
    <row r="638" ht="15.75" customHeight="1" spans="10:10">
      <c r="J638" s="34"/>
    </row>
    <row r="639" ht="15.75" customHeight="1" spans="10:10">
      <c r="J639" s="34"/>
    </row>
    <row r="640" ht="15.75" customHeight="1" spans="10:10">
      <c r="J640" s="34"/>
    </row>
    <row r="641" ht="15.75" customHeight="1" spans="10:10">
      <c r="J641" s="34"/>
    </row>
    <row r="642" ht="15.75" customHeight="1" spans="10:10">
      <c r="J642" s="34"/>
    </row>
    <row r="643" ht="15.75" customHeight="1" spans="10:10">
      <c r="J643" s="34"/>
    </row>
    <row r="644" ht="15.75" customHeight="1" spans="10:10">
      <c r="J644" s="34"/>
    </row>
    <row r="645" ht="15.75" customHeight="1" spans="10:10">
      <c r="J645" s="34"/>
    </row>
    <row r="646" ht="15.75" customHeight="1" spans="10:10">
      <c r="J646" s="34"/>
    </row>
    <row r="647" ht="15.75" customHeight="1" spans="10:10">
      <c r="J647" s="34"/>
    </row>
    <row r="648" ht="15.75" customHeight="1" spans="10:10">
      <c r="J648" s="34"/>
    </row>
    <row r="649" ht="15.75" customHeight="1" spans="10:10">
      <c r="J649" s="34"/>
    </row>
    <row r="650" ht="15.75" customHeight="1" spans="10:10">
      <c r="J650" s="34"/>
    </row>
    <row r="651" ht="15.75" customHeight="1" spans="10:10">
      <c r="J651" s="34"/>
    </row>
    <row r="652" ht="15.75" customHeight="1" spans="10:10">
      <c r="J652" s="34"/>
    </row>
    <row r="653" ht="15.75" customHeight="1" spans="10:10">
      <c r="J653" s="34"/>
    </row>
    <row r="654" ht="15.75" customHeight="1" spans="10:10">
      <c r="J654" s="34"/>
    </row>
    <row r="655" ht="15.75" customHeight="1" spans="10:10">
      <c r="J655" s="34"/>
    </row>
    <row r="656" ht="15.75" customHeight="1" spans="10:10">
      <c r="J656" s="34"/>
    </row>
    <row r="657" ht="15.75" customHeight="1" spans="10:10">
      <c r="J657" s="34"/>
    </row>
    <row r="658" ht="15.75" customHeight="1" spans="10:10">
      <c r="J658" s="34"/>
    </row>
    <row r="659" ht="15.75" customHeight="1" spans="10:10">
      <c r="J659" s="34"/>
    </row>
    <row r="660" ht="15.75" customHeight="1" spans="10:10">
      <c r="J660" s="34"/>
    </row>
    <row r="661" ht="15.75" customHeight="1" spans="10:10">
      <c r="J661" s="34"/>
    </row>
    <row r="662" ht="15.75" customHeight="1" spans="10:10">
      <c r="J662" s="34"/>
    </row>
    <row r="663" ht="15.75" customHeight="1" spans="10:10">
      <c r="J663" s="34"/>
    </row>
    <row r="664" ht="15.75" customHeight="1" spans="10:10">
      <c r="J664" s="34"/>
    </row>
    <row r="665" ht="15.75" customHeight="1" spans="10:10">
      <c r="J665" s="34"/>
    </row>
    <row r="666" ht="15.75" customHeight="1" spans="10:10">
      <c r="J666" s="34"/>
    </row>
    <row r="667" ht="15.75" customHeight="1" spans="10:10">
      <c r="J667" s="34"/>
    </row>
    <row r="668" ht="15.75" customHeight="1" spans="10:10">
      <c r="J668" s="34"/>
    </row>
    <row r="669" ht="15.75" customHeight="1" spans="10:10">
      <c r="J669" s="34"/>
    </row>
    <row r="670" ht="15.75" customHeight="1" spans="10:10">
      <c r="J670" s="34"/>
    </row>
    <row r="671" ht="15.75" customHeight="1" spans="10:10">
      <c r="J671" s="34"/>
    </row>
    <row r="672" ht="15.75" customHeight="1" spans="10:10">
      <c r="J672" s="34"/>
    </row>
    <row r="673" ht="15.75" customHeight="1" spans="10:10">
      <c r="J673" s="34"/>
    </row>
    <row r="674" ht="15.75" customHeight="1" spans="10:10">
      <c r="J674" s="34"/>
    </row>
    <row r="675" ht="15.75" customHeight="1" spans="10:10">
      <c r="J675" s="34"/>
    </row>
    <row r="676" ht="15.75" customHeight="1" spans="10:10">
      <c r="J676" s="34"/>
    </row>
    <row r="677" ht="15.75" customHeight="1" spans="10:10">
      <c r="J677" s="34"/>
    </row>
    <row r="678" ht="15.75" customHeight="1" spans="10:10">
      <c r="J678" s="34"/>
    </row>
    <row r="679" ht="15.75" customHeight="1" spans="10:10">
      <c r="J679" s="34"/>
    </row>
    <row r="680" ht="15.75" customHeight="1" spans="10:10">
      <c r="J680" s="34"/>
    </row>
    <row r="681" ht="15.75" customHeight="1" spans="10:10">
      <c r="J681" s="34"/>
    </row>
    <row r="682" ht="15.75" customHeight="1" spans="10:10">
      <c r="J682" s="34"/>
    </row>
    <row r="683" ht="15.75" customHeight="1" spans="10:10">
      <c r="J683" s="34"/>
    </row>
    <row r="684" ht="15.75" customHeight="1" spans="10:10">
      <c r="J684" s="34"/>
    </row>
    <row r="685" ht="15.75" customHeight="1" spans="10:10">
      <c r="J685" s="34"/>
    </row>
    <row r="686" ht="15.75" customHeight="1" spans="10:10">
      <c r="J686" s="34"/>
    </row>
    <row r="687" ht="15.75" customHeight="1" spans="10:10">
      <c r="J687" s="34"/>
    </row>
    <row r="688" ht="15.75" customHeight="1" spans="10:10">
      <c r="J688" s="34"/>
    </row>
    <row r="689" ht="15.75" customHeight="1" spans="10:10">
      <c r="J689" s="34"/>
    </row>
    <row r="690" ht="15.75" customHeight="1" spans="10:10">
      <c r="J690" s="34"/>
    </row>
    <row r="691" ht="15.75" customHeight="1" spans="10:10">
      <c r="J691" s="34"/>
    </row>
    <row r="692" ht="15.75" customHeight="1" spans="10:10">
      <c r="J692" s="34"/>
    </row>
    <row r="693" ht="15.75" customHeight="1" spans="10:10">
      <c r="J693" s="34"/>
    </row>
    <row r="694" ht="15.75" customHeight="1" spans="10:10">
      <c r="J694" s="34"/>
    </row>
    <row r="695" ht="15.75" customHeight="1" spans="10:10">
      <c r="J695" s="34"/>
    </row>
    <row r="696" ht="15.75" customHeight="1" spans="10:10">
      <c r="J696" s="34"/>
    </row>
    <row r="697" ht="15.75" customHeight="1" spans="10:10">
      <c r="J697" s="34"/>
    </row>
    <row r="698" ht="15.75" customHeight="1" spans="10:10">
      <c r="J698" s="34"/>
    </row>
    <row r="699" ht="15.75" customHeight="1" spans="10:10">
      <c r="J699" s="34"/>
    </row>
    <row r="700" ht="15.75" customHeight="1" spans="10:10">
      <c r="J700" s="34"/>
    </row>
    <row r="701" ht="15.75" customHeight="1" spans="10:10">
      <c r="J701" s="34"/>
    </row>
    <row r="702" ht="15.75" customHeight="1" spans="10:10">
      <c r="J702" s="34"/>
    </row>
    <row r="703" ht="15.75" customHeight="1" spans="10:10">
      <c r="J703" s="34"/>
    </row>
    <row r="704" ht="15.75" customHeight="1" spans="10:10">
      <c r="J704" s="34"/>
    </row>
    <row r="705" ht="15.75" customHeight="1" spans="10:10">
      <c r="J705" s="34"/>
    </row>
    <row r="706" ht="15.75" customHeight="1" spans="10:10">
      <c r="J706" s="34"/>
    </row>
    <row r="707" ht="15.75" customHeight="1" spans="10:10">
      <c r="J707" s="34"/>
    </row>
    <row r="708" ht="15.75" customHeight="1" spans="10:10">
      <c r="J708" s="34"/>
    </row>
    <row r="709" ht="15.75" customHeight="1" spans="10:10">
      <c r="J709" s="34"/>
    </row>
    <row r="710" ht="15.75" customHeight="1" spans="10:10">
      <c r="J710" s="34"/>
    </row>
    <row r="711" ht="15.75" customHeight="1" spans="10:10">
      <c r="J711" s="34"/>
    </row>
    <row r="712" ht="15.75" customHeight="1" spans="10:10">
      <c r="J712" s="34"/>
    </row>
    <row r="713" ht="15.75" customHeight="1" spans="10:10">
      <c r="J713" s="34"/>
    </row>
    <row r="714" ht="15.75" customHeight="1" spans="10:10">
      <c r="J714" s="34"/>
    </row>
    <row r="715" ht="15.75" customHeight="1" spans="10:10">
      <c r="J715" s="34"/>
    </row>
    <row r="716" ht="15.75" customHeight="1" spans="10:10">
      <c r="J716" s="34"/>
    </row>
    <row r="717" ht="15.75" customHeight="1" spans="10:10">
      <c r="J717" s="34"/>
    </row>
    <row r="718" ht="15.75" customHeight="1" spans="10:10">
      <c r="J718" s="34"/>
    </row>
    <row r="719" ht="15.75" customHeight="1" spans="10:10">
      <c r="J719" s="34"/>
    </row>
    <row r="720" ht="15.75" customHeight="1" spans="10:10">
      <c r="J720" s="34"/>
    </row>
    <row r="721" ht="15.75" customHeight="1" spans="10:10">
      <c r="J721" s="34"/>
    </row>
    <row r="722" ht="15.75" customHeight="1" spans="10:10">
      <c r="J722" s="34"/>
    </row>
    <row r="723" ht="15.75" customHeight="1" spans="10:10">
      <c r="J723" s="34"/>
    </row>
    <row r="724" ht="15.75" customHeight="1" spans="10:10">
      <c r="J724" s="34"/>
    </row>
    <row r="725" ht="15.75" customHeight="1" spans="10:10">
      <c r="J725" s="34"/>
    </row>
    <row r="726" ht="15.75" customHeight="1" spans="10:10">
      <c r="J726" s="34"/>
    </row>
    <row r="727" ht="15.75" customHeight="1" spans="10:10">
      <c r="J727" s="34"/>
    </row>
    <row r="728" ht="15.75" customHeight="1" spans="10:10">
      <c r="J728" s="34"/>
    </row>
    <row r="729" ht="15.75" customHeight="1" spans="10:10">
      <c r="J729" s="34"/>
    </row>
    <row r="730" ht="15.75" customHeight="1" spans="10:10">
      <c r="J730" s="34"/>
    </row>
    <row r="731" ht="15.75" customHeight="1" spans="10:10">
      <c r="J731" s="34"/>
    </row>
    <row r="732" ht="15.75" customHeight="1" spans="10:10">
      <c r="J732" s="34"/>
    </row>
    <row r="733" ht="15.75" customHeight="1" spans="10:10">
      <c r="J733" s="34"/>
    </row>
    <row r="734" ht="15.75" customHeight="1" spans="10:10">
      <c r="J734" s="34"/>
    </row>
    <row r="735" ht="15.75" customHeight="1" spans="10:10">
      <c r="J735" s="34"/>
    </row>
    <row r="736" ht="15.75" customHeight="1" spans="10:10">
      <c r="J736" s="34"/>
    </row>
    <row r="737" ht="15.75" customHeight="1" spans="10:10">
      <c r="J737" s="34"/>
    </row>
    <row r="738" ht="15.75" customHeight="1" spans="10:10">
      <c r="J738" s="34"/>
    </row>
    <row r="739" ht="15.75" customHeight="1" spans="10:10">
      <c r="J739" s="34"/>
    </row>
    <row r="740" ht="15.75" customHeight="1" spans="10:10">
      <c r="J740" s="34"/>
    </row>
    <row r="741" ht="15.75" customHeight="1" spans="10:10">
      <c r="J741" s="34"/>
    </row>
    <row r="742" ht="15.75" customHeight="1" spans="10:10">
      <c r="J742" s="34"/>
    </row>
    <row r="743" ht="15.75" customHeight="1" spans="10:10">
      <c r="J743" s="34"/>
    </row>
    <row r="744" ht="15.75" customHeight="1" spans="10:10">
      <c r="J744" s="34"/>
    </row>
    <row r="745" ht="15.75" customHeight="1" spans="10:10">
      <c r="J745" s="34"/>
    </row>
    <row r="746" ht="15.75" customHeight="1" spans="10:10">
      <c r="J746" s="34"/>
    </row>
    <row r="747" ht="15.75" customHeight="1" spans="10:10">
      <c r="J747" s="34"/>
    </row>
    <row r="748" ht="15.75" customHeight="1" spans="10:10">
      <c r="J748" s="34"/>
    </row>
    <row r="749" ht="15.75" customHeight="1" spans="10:10">
      <c r="J749" s="34"/>
    </row>
    <row r="750" ht="15.75" customHeight="1" spans="10:10">
      <c r="J750" s="34"/>
    </row>
    <row r="751" ht="15.75" customHeight="1" spans="10:10">
      <c r="J751" s="34"/>
    </row>
    <row r="752" ht="15.75" customHeight="1" spans="10:10">
      <c r="J752" s="34"/>
    </row>
    <row r="753" ht="15.75" customHeight="1" spans="10:10">
      <c r="J753" s="34"/>
    </row>
    <row r="754" ht="15.75" customHeight="1" spans="10:10">
      <c r="J754" s="34"/>
    </row>
    <row r="755" ht="15.75" customHeight="1" spans="10:10">
      <c r="J755" s="34"/>
    </row>
    <row r="756" ht="15.75" customHeight="1" spans="10:10">
      <c r="J756" s="34"/>
    </row>
    <row r="757" ht="15.75" customHeight="1" spans="10:10">
      <c r="J757" s="34"/>
    </row>
    <row r="758" ht="15.75" customHeight="1" spans="10:10">
      <c r="J758" s="34"/>
    </row>
    <row r="759" ht="15.75" customHeight="1" spans="10:10">
      <c r="J759" s="34"/>
    </row>
    <row r="760" ht="15.75" customHeight="1" spans="10:10">
      <c r="J760" s="34"/>
    </row>
    <row r="761" ht="15.75" customHeight="1" spans="10:10">
      <c r="J761" s="34"/>
    </row>
    <row r="762" ht="15.75" customHeight="1" spans="10:10">
      <c r="J762" s="34"/>
    </row>
    <row r="763" ht="15.75" customHeight="1" spans="10:10">
      <c r="J763" s="34"/>
    </row>
    <row r="764" ht="15.75" customHeight="1" spans="10:10">
      <c r="J764" s="34"/>
    </row>
    <row r="765" ht="15.75" customHeight="1" spans="10:10">
      <c r="J765" s="34"/>
    </row>
    <row r="766" ht="15.75" customHeight="1" spans="10:10">
      <c r="J766" s="34"/>
    </row>
    <row r="767" ht="15.75" customHeight="1" spans="10:10">
      <c r="J767" s="34"/>
    </row>
    <row r="768" ht="15.75" customHeight="1" spans="10:10">
      <c r="J768" s="34"/>
    </row>
    <row r="769" ht="15.75" customHeight="1" spans="10:10">
      <c r="J769" s="34"/>
    </row>
    <row r="770" ht="15.75" customHeight="1" spans="10:10">
      <c r="J770" s="34"/>
    </row>
    <row r="771" ht="15.75" customHeight="1" spans="10:10">
      <c r="J771" s="34"/>
    </row>
    <row r="772" ht="15.75" customHeight="1" spans="10:10">
      <c r="J772" s="34"/>
    </row>
    <row r="773" ht="15.75" customHeight="1" spans="10:10">
      <c r="J773" s="34"/>
    </row>
    <row r="774" ht="15.75" customHeight="1" spans="10:10">
      <c r="J774" s="34"/>
    </row>
    <row r="775" ht="15.75" customHeight="1" spans="10:10">
      <c r="J775" s="34"/>
    </row>
    <row r="776" ht="15.75" customHeight="1" spans="10:10">
      <c r="J776" s="34"/>
    </row>
    <row r="777" ht="15.75" customHeight="1" spans="10:10">
      <c r="J777" s="34"/>
    </row>
    <row r="778" ht="15.75" customHeight="1" spans="10:10">
      <c r="J778" s="34"/>
    </row>
    <row r="779" ht="15.75" customHeight="1" spans="10:10">
      <c r="J779" s="34"/>
    </row>
    <row r="780" ht="15.75" customHeight="1" spans="10:10">
      <c r="J780" s="34"/>
    </row>
    <row r="781" ht="15.75" customHeight="1" spans="10:10">
      <c r="J781" s="34"/>
    </row>
    <row r="782" ht="15.75" customHeight="1" spans="10:10">
      <c r="J782" s="34"/>
    </row>
    <row r="783" ht="15.75" customHeight="1" spans="10:10">
      <c r="J783" s="34"/>
    </row>
    <row r="784" ht="15.75" customHeight="1" spans="10:10">
      <c r="J784" s="34"/>
    </row>
    <row r="785" ht="15.75" customHeight="1" spans="10:10">
      <c r="J785" s="34"/>
    </row>
    <row r="786" ht="15.75" customHeight="1" spans="10:10">
      <c r="J786" s="34"/>
    </row>
    <row r="787" ht="15.75" customHeight="1" spans="10:10">
      <c r="J787" s="34"/>
    </row>
    <row r="788" ht="15.75" customHeight="1" spans="10:10">
      <c r="J788" s="34"/>
    </row>
    <row r="789" ht="15.75" customHeight="1" spans="10:10">
      <c r="J789" s="34"/>
    </row>
    <row r="790" ht="15.75" customHeight="1" spans="10:10">
      <c r="J790" s="34"/>
    </row>
    <row r="791" ht="15.75" customHeight="1" spans="10:10">
      <c r="J791" s="34"/>
    </row>
    <row r="792" ht="15.75" customHeight="1" spans="10:10">
      <c r="J792" s="34"/>
    </row>
    <row r="793" ht="15.75" customHeight="1" spans="10:10">
      <c r="J793" s="34"/>
    </row>
    <row r="794" ht="15.75" customHeight="1" spans="10:10">
      <c r="J794" s="34"/>
    </row>
    <row r="795" ht="15.75" customHeight="1" spans="10:10">
      <c r="J795" s="34"/>
    </row>
    <row r="796" ht="15.75" customHeight="1" spans="10:10">
      <c r="J796" s="34"/>
    </row>
    <row r="797" ht="15.75" customHeight="1" spans="10:10">
      <c r="J797" s="34"/>
    </row>
    <row r="798" ht="15.75" customHeight="1" spans="10:10">
      <c r="J798" s="34"/>
    </row>
    <row r="799" ht="15.75" customHeight="1" spans="10:10">
      <c r="J799" s="34"/>
    </row>
    <row r="800" ht="15.75" customHeight="1" spans="10:10">
      <c r="J800" s="34"/>
    </row>
    <row r="801" ht="15.75" customHeight="1" spans="10:10">
      <c r="J801" s="34"/>
    </row>
    <row r="802" ht="15.75" customHeight="1" spans="10:10">
      <c r="J802" s="34"/>
    </row>
    <row r="803" ht="15.75" customHeight="1" spans="10:10">
      <c r="J803" s="34"/>
    </row>
    <row r="804" ht="15.75" customHeight="1" spans="10:10">
      <c r="J804" s="34"/>
    </row>
    <row r="805" ht="15.75" customHeight="1" spans="10:10">
      <c r="J805" s="34"/>
    </row>
    <row r="806" ht="15.75" customHeight="1" spans="10:10">
      <c r="J806" s="34"/>
    </row>
    <row r="807" ht="15.75" customHeight="1" spans="10:10">
      <c r="J807" s="34"/>
    </row>
    <row r="808" ht="15.75" customHeight="1" spans="10:10">
      <c r="J808" s="34"/>
    </row>
    <row r="809" ht="15.75" customHeight="1" spans="10:10">
      <c r="J809" s="34"/>
    </row>
    <row r="810" ht="15.75" customHeight="1" spans="10:10">
      <c r="J810" s="34"/>
    </row>
    <row r="811" ht="15.75" customHeight="1" spans="10:10">
      <c r="J811" s="34"/>
    </row>
    <row r="812" ht="15.75" customHeight="1" spans="10:10">
      <c r="J812" s="34"/>
    </row>
    <row r="813" ht="15.75" customHeight="1" spans="10:10">
      <c r="J813" s="34"/>
    </row>
    <row r="814" ht="15.75" customHeight="1" spans="10:10">
      <c r="J814" s="34"/>
    </row>
    <row r="815" ht="15.75" customHeight="1" spans="10:10">
      <c r="J815" s="34"/>
    </row>
    <row r="816" ht="15.75" customHeight="1" spans="10:10">
      <c r="J816" s="34"/>
    </row>
    <row r="817" ht="15.75" customHeight="1" spans="10:10">
      <c r="J817" s="34"/>
    </row>
    <row r="818" ht="15.75" customHeight="1" spans="10:10">
      <c r="J818" s="34"/>
    </row>
    <row r="819" ht="15.75" customHeight="1" spans="10:10">
      <c r="J819" s="34"/>
    </row>
    <row r="820" ht="15.75" customHeight="1" spans="10:10">
      <c r="J820" s="34"/>
    </row>
    <row r="821" ht="15.75" customHeight="1" spans="10:10">
      <c r="J821" s="34"/>
    </row>
    <row r="822" ht="15.75" customHeight="1" spans="10:10">
      <c r="J822" s="34"/>
    </row>
    <row r="823" ht="15.75" customHeight="1" spans="10:10">
      <c r="J823" s="34"/>
    </row>
    <row r="824" ht="15.75" customHeight="1" spans="10:10">
      <c r="J824" s="34"/>
    </row>
    <row r="825" ht="15.75" customHeight="1" spans="10:10">
      <c r="J825" s="34"/>
    </row>
    <row r="826" ht="15.75" customHeight="1" spans="10:10">
      <c r="J826" s="34"/>
    </row>
    <row r="827" ht="15.75" customHeight="1" spans="10:10">
      <c r="J827" s="34"/>
    </row>
    <row r="828" ht="15.75" customHeight="1" spans="10:10">
      <c r="J828" s="34"/>
    </row>
    <row r="829" ht="15.75" customHeight="1" spans="10:10">
      <c r="J829" s="34"/>
    </row>
    <row r="830" ht="15.75" customHeight="1" spans="10:10">
      <c r="J830" s="34"/>
    </row>
    <row r="831" ht="15.75" customHeight="1" spans="10:10">
      <c r="J831" s="34"/>
    </row>
    <row r="832" ht="15.75" customHeight="1" spans="10:10">
      <c r="J832" s="34"/>
    </row>
    <row r="833" ht="15.75" customHeight="1" spans="10:10">
      <c r="J833" s="34"/>
    </row>
    <row r="834" ht="15.75" customHeight="1" spans="10:10">
      <c r="J834" s="34"/>
    </row>
    <row r="835" ht="15.75" customHeight="1" spans="10:10">
      <c r="J835" s="34"/>
    </row>
    <row r="836" ht="15.75" customHeight="1" spans="10:10">
      <c r="J836" s="34"/>
    </row>
    <row r="837" ht="15.75" customHeight="1" spans="10:10">
      <c r="J837" s="34"/>
    </row>
    <row r="838" ht="15.75" customHeight="1" spans="10:10">
      <c r="J838" s="34"/>
    </row>
    <row r="839" ht="15.75" customHeight="1" spans="10:10">
      <c r="J839" s="34"/>
    </row>
    <row r="840" ht="15.75" customHeight="1" spans="10:10">
      <c r="J840" s="34"/>
    </row>
    <row r="841" ht="15.75" customHeight="1" spans="10:10">
      <c r="J841" s="34"/>
    </row>
    <row r="842" ht="15.75" customHeight="1" spans="10:10">
      <c r="J842" s="34"/>
    </row>
    <row r="843" ht="15.75" customHeight="1" spans="10:10">
      <c r="J843" s="34"/>
    </row>
    <row r="844" ht="15.75" customHeight="1" spans="10:10">
      <c r="J844" s="34"/>
    </row>
    <row r="845" ht="15.75" customHeight="1" spans="10:10">
      <c r="J845" s="34"/>
    </row>
    <row r="846" ht="15.75" customHeight="1" spans="10:10">
      <c r="J846" s="34"/>
    </row>
    <row r="847" ht="15.75" customHeight="1" spans="10:10">
      <c r="J847" s="34"/>
    </row>
    <row r="848" ht="15.75" customHeight="1" spans="10:10">
      <c r="J848" s="34"/>
    </row>
    <row r="849" ht="15.75" customHeight="1" spans="10:10">
      <c r="J849" s="34"/>
    </row>
    <row r="850" ht="15.75" customHeight="1" spans="10:10">
      <c r="J850" s="34"/>
    </row>
    <row r="851" ht="15.75" customHeight="1" spans="10:10">
      <c r="J851" s="34"/>
    </row>
    <row r="852" ht="15.75" customHeight="1" spans="10:10">
      <c r="J852" s="34"/>
    </row>
    <row r="853" ht="15.75" customHeight="1" spans="10:10">
      <c r="J853" s="34"/>
    </row>
    <row r="854" ht="15.75" customHeight="1" spans="10:10">
      <c r="J854" s="34"/>
    </row>
    <row r="855" ht="15.75" customHeight="1" spans="10:10">
      <c r="J855" s="34"/>
    </row>
    <row r="856" ht="15.75" customHeight="1" spans="10:10">
      <c r="J856" s="34"/>
    </row>
    <row r="857" ht="15.75" customHeight="1" spans="10:10">
      <c r="J857" s="34"/>
    </row>
    <row r="858" ht="15.75" customHeight="1" spans="10:10">
      <c r="J858" s="34"/>
    </row>
    <row r="859" ht="15.75" customHeight="1" spans="10:10">
      <c r="J859" s="34"/>
    </row>
    <row r="860" ht="15.75" customHeight="1" spans="10:10">
      <c r="J860" s="34"/>
    </row>
    <row r="861" ht="15.75" customHeight="1" spans="10:10">
      <c r="J861" s="34"/>
    </row>
    <row r="862" ht="15.75" customHeight="1" spans="10:10">
      <c r="J862" s="34"/>
    </row>
    <row r="863" ht="15.75" customHeight="1" spans="10:10">
      <c r="J863" s="34"/>
    </row>
    <row r="864" ht="15.75" customHeight="1" spans="10:10">
      <c r="J864" s="34"/>
    </row>
    <row r="865" ht="15.75" customHeight="1" spans="10:10">
      <c r="J865" s="34"/>
    </row>
    <row r="866" ht="15.75" customHeight="1" spans="10:10">
      <c r="J866" s="34"/>
    </row>
    <row r="867" ht="15.75" customHeight="1" spans="10:10">
      <c r="J867" s="34"/>
    </row>
    <row r="868" ht="15.75" customHeight="1" spans="10:10">
      <c r="J868" s="34"/>
    </row>
    <row r="869" ht="15.75" customHeight="1" spans="10:10">
      <c r="J869" s="34"/>
    </row>
    <row r="870" ht="15.75" customHeight="1" spans="10:10">
      <c r="J870" s="34"/>
    </row>
    <row r="871" ht="15.75" customHeight="1" spans="10:10">
      <c r="J871" s="34"/>
    </row>
    <row r="872" ht="15.75" customHeight="1" spans="10:10">
      <c r="J872" s="34"/>
    </row>
    <row r="873" ht="15.75" customHeight="1" spans="10:10">
      <c r="J873" s="34"/>
    </row>
    <row r="874" ht="15.75" customHeight="1" spans="10:10">
      <c r="J874" s="34"/>
    </row>
    <row r="875" ht="15.75" customHeight="1" spans="10:10">
      <c r="J875" s="34"/>
    </row>
    <row r="876" ht="15.75" customHeight="1" spans="10:10">
      <c r="J876" s="34"/>
    </row>
    <row r="877" ht="15.75" customHeight="1" spans="10:10">
      <c r="J877" s="34"/>
    </row>
    <row r="878" ht="15.75" customHeight="1" spans="10:10">
      <c r="J878" s="34"/>
    </row>
    <row r="879" ht="15.75" customHeight="1" spans="10:10">
      <c r="J879" s="34"/>
    </row>
    <row r="880" ht="15.75" customHeight="1" spans="10:10">
      <c r="J880" s="34"/>
    </row>
    <row r="881" ht="15.75" customHeight="1" spans="10:10">
      <c r="J881" s="34"/>
    </row>
    <row r="882" ht="15.75" customHeight="1" spans="10:10">
      <c r="J882" s="34"/>
    </row>
    <row r="883" ht="15.75" customHeight="1" spans="10:10">
      <c r="J883" s="34"/>
    </row>
    <row r="884" ht="15.75" customHeight="1" spans="10:10">
      <c r="J884" s="34"/>
    </row>
    <row r="885" ht="15.75" customHeight="1" spans="10:10">
      <c r="J885" s="34"/>
    </row>
    <row r="886" ht="15.75" customHeight="1" spans="10:10">
      <c r="J886" s="34"/>
    </row>
    <row r="887" ht="15.75" customHeight="1" spans="10:10">
      <c r="J887" s="34"/>
    </row>
    <row r="888" ht="15.75" customHeight="1" spans="10:10">
      <c r="J888" s="34"/>
    </row>
    <row r="889" ht="15.75" customHeight="1" spans="10:10">
      <c r="J889" s="34"/>
    </row>
    <row r="890" ht="15.75" customHeight="1" spans="10:10">
      <c r="J890" s="34"/>
    </row>
    <row r="891" ht="15.75" customHeight="1" spans="10:10">
      <c r="J891" s="34"/>
    </row>
    <row r="892" ht="15.75" customHeight="1" spans="10:10">
      <c r="J892" s="34"/>
    </row>
    <row r="893" ht="15.75" customHeight="1" spans="10:10">
      <c r="J893" s="34"/>
    </row>
    <row r="894" ht="15.75" customHeight="1" spans="10:10">
      <c r="J894" s="34"/>
    </row>
    <row r="895" ht="15.75" customHeight="1" spans="10:10">
      <c r="J895" s="34"/>
    </row>
    <row r="896" ht="15.75" customHeight="1" spans="10:10">
      <c r="J896" s="34"/>
    </row>
    <row r="897" ht="15.75" customHeight="1" spans="10:10">
      <c r="J897" s="34"/>
    </row>
    <row r="898" ht="15.75" customHeight="1" spans="10:10">
      <c r="J898" s="34"/>
    </row>
    <row r="899" ht="15.75" customHeight="1" spans="10:10">
      <c r="J899" s="34"/>
    </row>
    <row r="900" ht="15.75" customHeight="1" spans="10:10">
      <c r="J900" s="34"/>
    </row>
    <row r="901" ht="15.75" customHeight="1" spans="10:10">
      <c r="J901" s="34"/>
    </row>
    <row r="902" ht="15.75" customHeight="1" spans="10:10">
      <c r="J902" s="34"/>
    </row>
    <row r="903" ht="15.75" customHeight="1" spans="10:10">
      <c r="J903" s="34"/>
    </row>
    <row r="904" ht="15.75" customHeight="1" spans="10:10">
      <c r="J904" s="34"/>
    </row>
    <row r="905" ht="15.75" customHeight="1" spans="10:10">
      <c r="J905" s="34"/>
    </row>
    <row r="906" ht="15.75" customHeight="1" spans="10:10">
      <c r="J906" s="34"/>
    </row>
    <row r="907" ht="15.75" customHeight="1" spans="10:10">
      <c r="J907" s="34"/>
    </row>
    <row r="908" ht="15.75" customHeight="1" spans="10:10">
      <c r="J908" s="34"/>
    </row>
    <row r="909" ht="15.75" customHeight="1" spans="10:10">
      <c r="J909" s="34"/>
    </row>
    <row r="910" ht="15.75" customHeight="1" spans="10:10">
      <c r="J910" s="34"/>
    </row>
    <row r="911" ht="15.75" customHeight="1" spans="10:10">
      <c r="J911" s="34"/>
    </row>
    <row r="912" ht="15.75" customHeight="1" spans="10:10">
      <c r="J912" s="34"/>
    </row>
    <row r="913" ht="15.75" customHeight="1" spans="10:10">
      <c r="J913" s="34"/>
    </row>
    <row r="914" ht="15.75" customHeight="1" spans="10:10">
      <c r="J914" s="34"/>
    </row>
    <row r="915" ht="15.75" customHeight="1" spans="10:10">
      <c r="J915" s="34"/>
    </row>
    <row r="916" ht="15.75" customHeight="1" spans="10:10">
      <c r="J916" s="34"/>
    </row>
    <row r="917" ht="15.75" customHeight="1" spans="10:10">
      <c r="J917" s="34"/>
    </row>
    <row r="918" ht="15.75" customHeight="1" spans="10:10">
      <c r="J918" s="34"/>
    </row>
    <row r="919" ht="15.75" customHeight="1" spans="10:10">
      <c r="J919" s="34"/>
    </row>
    <row r="920" ht="15.75" customHeight="1" spans="10:10">
      <c r="J920" s="34"/>
    </row>
    <row r="921" ht="15.75" customHeight="1" spans="10:10">
      <c r="J921" s="34"/>
    </row>
    <row r="922" ht="15.75" customHeight="1" spans="10:10">
      <c r="J922" s="34"/>
    </row>
    <row r="923" ht="15.75" customHeight="1" spans="10:10">
      <c r="J923" s="34"/>
    </row>
    <row r="924" ht="15.75" customHeight="1" spans="10:10">
      <c r="J924" s="34"/>
    </row>
    <row r="925" ht="15.75" customHeight="1" spans="10:10">
      <c r="J925" s="34"/>
    </row>
    <row r="926" ht="15.75" customHeight="1" spans="10:10">
      <c r="J926" s="34"/>
    </row>
    <row r="927" ht="15.75" customHeight="1" spans="10:10">
      <c r="J927" s="34"/>
    </row>
    <row r="928" ht="15.75" customHeight="1" spans="10:10">
      <c r="J928" s="34"/>
    </row>
    <row r="929" ht="15.75" customHeight="1" spans="10:10">
      <c r="J929" s="34"/>
    </row>
    <row r="930" ht="15.75" customHeight="1" spans="10:10">
      <c r="J930" s="34"/>
    </row>
    <row r="931" ht="15.75" customHeight="1" spans="10:10">
      <c r="J931" s="34"/>
    </row>
    <row r="932" ht="15.75" customHeight="1" spans="10:10">
      <c r="J932" s="34"/>
    </row>
    <row r="933" ht="15.75" customHeight="1" spans="10:10">
      <c r="J933" s="34"/>
    </row>
    <row r="934" ht="15.75" customHeight="1" spans="10:10">
      <c r="J934" s="34"/>
    </row>
    <row r="935" ht="15.75" customHeight="1" spans="10:10">
      <c r="J935" s="34"/>
    </row>
    <row r="936" ht="15.75" customHeight="1" spans="10:10">
      <c r="J936" s="34"/>
    </row>
    <row r="937" ht="15.75" customHeight="1" spans="10:10">
      <c r="J937" s="34"/>
    </row>
    <row r="938" ht="15.75" customHeight="1" spans="10:10">
      <c r="J938" s="34"/>
    </row>
    <row r="939" ht="15.75" customHeight="1" spans="10:10">
      <c r="J939" s="34"/>
    </row>
    <row r="940" ht="15.75" customHeight="1" spans="10:10">
      <c r="J940" s="34"/>
    </row>
    <row r="941" ht="15.75" customHeight="1" spans="10:10">
      <c r="J941" s="34"/>
    </row>
    <row r="942" ht="15.75" customHeight="1" spans="10:10">
      <c r="J942" s="34"/>
    </row>
    <row r="943" ht="15.75" customHeight="1" spans="10:10">
      <c r="J943" s="34"/>
    </row>
    <row r="944" ht="15.75" customHeight="1" spans="10:10">
      <c r="J944" s="34"/>
    </row>
    <row r="945" ht="15.75" customHeight="1" spans="10:10">
      <c r="J945" s="34"/>
    </row>
    <row r="946" ht="15.75" customHeight="1" spans="10:10">
      <c r="J946" s="34"/>
    </row>
    <row r="947" ht="15.75" customHeight="1" spans="10:10">
      <c r="J947" s="34"/>
    </row>
    <row r="948" ht="15.75" customHeight="1" spans="10:10">
      <c r="J948" s="34"/>
    </row>
    <row r="949" ht="15.75" customHeight="1" spans="10:10">
      <c r="J949" s="34"/>
    </row>
    <row r="950" ht="15.75" customHeight="1" spans="10:10">
      <c r="J950" s="34"/>
    </row>
    <row r="951" ht="15.75" customHeight="1" spans="10:10">
      <c r="J951" s="34"/>
    </row>
    <row r="952" ht="15.75" customHeight="1" spans="10:10">
      <c r="J952" s="34"/>
    </row>
    <row r="953" ht="15.75" customHeight="1" spans="10:10">
      <c r="J953" s="34"/>
    </row>
    <row r="954" ht="15.75" customHeight="1" spans="10:10">
      <c r="J954" s="34"/>
    </row>
    <row r="955" ht="15.75" customHeight="1" spans="10:10">
      <c r="J955" s="34"/>
    </row>
    <row r="956" ht="15.75" customHeight="1" spans="10:10">
      <c r="J956" s="34"/>
    </row>
    <row r="957" ht="15.75" customHeight="1" spans="10:10">
      <c r="J957" s="34"/>
    </row>
    <row r="958" ht="15.75" customHeight="1" spans="10:10">
      <c r="J958" s="34"/>
    </row>
    <row r="959" ht="15.75" customHeight="1" spans="10:10">
      <c r="J959" s="34"/>
    </row>
    <row r="960" ht="15.75" customHeight="1" spans="10:10">
      <c r="J960" s="34"/>
    </row>
    <row r="961" ht="15.75" customHeight="1" spans="10:10">
      <c r="J961" s="34"/>
    </row>
    <row r="962" ht="15.75" customHeight="1" spans="10:10">
      <c r="J962" s="34"/>
    </row>
    <row r="963" ht="15.75" customHeight="1" spans="10:10">
      <c r="J963" s="34"/>
    </row>
    <row r="964" ht="15.75" customHeight="1" spans="10:10">
      <c r="J964" s="34"/>
    </row>
    <row r="965" ht="15.75" customHeight="1" spans="10:10">
      <c r="J965" s="34"/>
    </row>
    <row r="966" ht="15.75" customHeight="1" spans="10:10">
      <c r="J966" s="34"/>
    </row>
    <row r="967" ht="15.75" customHeight="1" spans="10:10">
      <c r="J967" s="34"/>
    </row>
    <row r="968" ht="15.75" customHeight="1" spans="10:10">
      <c r="J968" s="34"/>
    </row>
    <row r="969" ht="15.75" customHeight="1" spans="10:10">
      <c r="J969" s="34"/>
    </row>
    <row r="970" ht="15.75" customHeight="1" spans="10:10">
      <c r="J970" s="34"/>
    </row>
    <row r="971" ht="15.75" customHeight="1" spans="10:10">
      <c r="J971" s="34"/>
    </row>
    <row r="972" ht="15.75" customHeight="1" spans="10:10">
      <c r="J972" s="34"/>
    </row>
    <row r="973" ht="15.75" customHeight="1" spans="10:10">
      <c r="J973" s="34"/>
    </row>
    <row r="974" ht="15.75" customHeight="1" spans="10:10">
      <c r="J974" s="34"/>
    </row>
    <row r="975" ht="15.75" customHeight="1" spans="10:10">
      <c r="J975" s="34"/>
    </row>
    <row r="976" ht="15.75" customHeight="1" spans="10:10">
      <c r="J976" s="34"/>
    </row>
    <row r="977" ht="15.75" customHeight="1" spans="10:10">
      <c r="J977" s="34"/>
    </row>
    <row r="978" ht="15.75" customHeight="1" spans="10:10">
      <c r="J978" s="34"/>
    </row>
    <row r="979" ht="15.75" customHeight="1" spans="10:10">
      <c r="J979" s="34"/>
    </row>
    <row r="980" ht="15.75" customHeight="1" spans="10:10">
      <c r="J980" s="34"/>
    </row>
    <row r="981" ht="15.75" customHeight="1" spans="10:10">
      <c r="J981" s="34"/>
    </row>
    <row r="982" ht="15.75" customHeight="1" spans="10:10">
      <c r="J982" s="34"/>
    </row>
    <row r="983" ht="15.75" customHeight="1" spans="10:10">
      <c r="J983" s="34"/>
    </row>
    <row r="984" ht="15.75" customHeight="1" spans="10:10">
      <c r="J984" s="34"/>
    </row>
    <row r="985" ht="15.75" customHeight="1" spans="10:10">
      <c r="J985" s="34"/>
    </row>
    <row r="986" ht="15.75" customHeight="1" spans="10:10">
      <c r="J986" s="34"/>
    </row>
    <row r="987" ht="15.75" customHeight="1" spans="10:10">
      <c r="J987" s="34"/>
    </row>
    <row r="988" ht="15.75" customHeight="1" spans="10:10">
      <c r="J988" s="34"/>
    </row>
    <row r="989" ht="15.75" customHeight="1" spans="10:10">
      <c r="J989" s="34"/>
    </row>
    <row r="990" ht="15.75" customHeight="1" spans="10:10">
      <c r="J990" s="34"/>
    </row>
    <row r="991" ht="15.75" customHeight="1" spans="10:10">
      <c r="J991" s="34"/>
    </row>
    <row r="992" ht="15.75" customHeight="1" spans="10:10">
      <c r="J992" s="34"/>
    </row>
    <row r="993" ht="15.75" customHeight="1" spans="10:10">
      <c r="J993" s="34"/>
    </row>
    <row r="994" ht="15.75" customHeight="1" spans="10:10">
      <c r="J994" s="34"/>
    </row>
    <row r="995" ht="15.75" customHeight="1" spans="10:10">
      <c r="J995" s="34"/>
    </row>
    <row r="996" ht="15.75" customHeight="1" spans="10:10">
      <c r="J996" s="34"/>
    </row>
    <row r="997" ht="15.75" customHeight="1" spans="10:10">
      <c r="J997" s="34"/>
    </row>
    <row r="998" ht="15.75" customHeight="1" spans="10:10">
      <c r="J998" s="34"/>
    </row>
    <row r="999" ht="15.75" customHeight="1" spans="10:10">
      <c r="J999" s="34"/>
    </row>
    <row r="1000" ht="15.75" customHeight="1" spans="10:10">
      <c r="J1000" s="34"/>
    </row>
    <row r="1001" ht="15.75" customHeight="1" spans="10:10">
      <c r="J1001" s="34"/>
    </row>
    <row r="1002" ht="15.75" customHeight="1" spans="10:10">
      <c r="J1002" s="34"/>
    </row>
    <row r="1003" ht="15.75" customHeight="1" spans="10:10">
      <c r="J1003" s="34"/>
    </row>
    <row r="1004" ht="15.75" customHeight="1" spans="10:10">
      <c r="J1004" s="34"/>
    </row>
    <row r="1005" ht="15.75" customHeight="1" spans="10:10">
      <c r="J1005" s="34"/>
    </row>
    <row r="1006" ht="15.75" customHeight="1" spans="10:10">
      <c r="J1006" s="34"/>
    </row>
    <row r="1007" ht="15.75" customHeight="1" spans="10:10">
      <c r="J1007" s="34"/>
    </row>
    <row r="1008" ht="15.75" customHeight="1" spans="10:10">
      <c r="J1008" s="34"/>
    </row>
    <row r="1009" ht="15.75" customHeight="1" spans="10:10">
      <c r="J1009" s="34"/>
    </row>
    <row r="1010" ht="15.75" customHeight="1" spans="10:10">
      <c r="J1010" s="34"/>
    </row>
    <row r="1011" ht="15.75" customHeight="1" spans="10:10">
      <c r="J1011" s="34"/>
    </row>
    <row r="1012" ht="15.75" customHeight="1" spans="10:10">
      <c r="J1012" s="34"/>
    </row>
    <row r="1013" ht="15.75" customHeight="1" spans="10:10">
      <c r="J1013" s="34"/>
    </row>
    <row r="1014" ht="15.75" customHeight="1" spans="10:10">
      <c r="J1014" s="34"/>
    </row>
    <row r="1015" ht="15.75" customHeight="1" spans="10:10">
      <c r="J1015" s="34"/>
    </row>
    <row r="1016" ht="15.75" customHeight="1" spans="10:10">
      <c r="J1016" s="34"/>
    </row>
    <row r="1017" ht="15.75" customHeight="1" spans="10:10">
      <c r="J1017" s="34"/>
    </row>
    <row r="1018" ht="15.75" customHeight="1" spans="10:10">
      <c r="J1018" s="34"/>
    </row>
    <row r="1019" ht="15.75" customHeight="1" spans="10:10">
      <c r="J1019" s="34"/>
    </row>
    <row r="1020" ht="15.75" customHeight="1" spans="10:10">
      <c r="J1020" s="34"/>
    </row>
    <row r="1021" ht="15.75" customHeight="1" spans="10:10">
      <c r="J1021" s="34"/>
    </row>
    <row r="1022" ht="15.75" customHeight="1" spans="10:10">
      <c r="J1022" s="34"/>
    </row>
    <row r="1023" ht="15.75" customHeight="1" spans="10:10">
      <c r="J1023" s="34"/>
    </row>
    <row r="1024" ht="15.75" customHeight="1" spans="10:10">
      <c r="J1024" s="34"/>
    </row>
    <row r="1025" ht="15.75" customHeight="1" spans="10:10">
      <c r="J1025" s="34"/>
    </row>
    <row r="1026" ht="15.75" customHeight="1" spans="10:10">
      <c r="J1026" s="34"/>
    </row>
    <row r="1027" ht="15.75" customHeight="1" spans="10:10">
      <c r="J1027" s="34"/>
    </row>
    <row r="1028" ht="15.75" customHeight="1" spans="10:10">
      <c r="J1028" s="34"/>
    </row>
    <row r="1029" ht="15.75" customHeight="1" spans="10:10">
      <c r="J1029" s="34"/>
    </row>
    <row r="1030" ht="15.75" customHeight="1" spans="10:10">
      <c r="J1030" s="34"/>
    </row>
    <row r="1031" ht="15.75" customHeight="1" spans="10:10">
      <c r="J1031" s="34"/>
    </row>
    <row r="1032" ht="15.75" customHeight="1" spans="10:10">
      <c r="J1032" s="34"/>
    </row>
    <row r="1033" ht="15.75" customHeight="1" spans="10:10">
      <c r="J1033" s="34"/>
    </row>
    <row r="1034" ht="15.75" customHeight="1" spans="10:10">
      <c r="J1034" s="34"/>
    </row>
    <row r="1035" ht="15.75" customHeight="1" spans="10:10">
      <c r="J1035" s="34"/>
    </row>
    <row r="1036" ht="15.75" customHeight="1" spans="10:10">
      <c r="J1036" s="34"/>
    </row>
    <row r="1037" ht="15.75" customHeight="1" spans="10:10">
      <c r="J1037" s="34"/>
    </row>
    <row r="1038" ht="15.75" customHeight="1" spans="10:10">
      <c r="J1038" s="34"/>
    </row>
    <row r="1039" ht="15.75" customHeight="1" spans="10:10">
      <c r="J1039" s="34"/>
    </row>
    <row r="1040" ht="15.75" customHeight="1" spans="10:10">
      <c r="J1040" s="34"/>
    </row>
    <row r="1041" ht="15.75" customHeight="1" spans="10:10">
      <c r="J1041" s="34"/>
    </row>
    <row r="1042" ht="15.75" customHeight="1" spans="10:10">
      <c r="J1042" s="34"/>
    </row>
    <row r="1043" ht="15.75" customHeight="1" spans="10:10">
      <c r="J1043" s="34"/>
    </row>
    <row r="1044" ht="15.75" customHeight="1" spans="10:10">
      <c r="J1044" s="34"/>
    </row>
    <row r="1045" ht="15.75" customHeight="1" spans="10:10">
      <c r="J1045" s="34"/>
    </row>
    <row r="1046" ht="15.75" customHeight="1" spans="10:10">
      <c r="J1046" s="34"/>
    </row>
    <row r="1047" ht="15.75" customHeight="1" spans="10:10">
      <c r="J1047" s="34"/>
    </row>
    <row r="1048" ht="15.75" customHeight="1" spans="10:10">
      <c r="J1048" s="34"/>
    </row>
    <row r="1049" ht="15.75" customHeight="1" spans="10:10">
      <c r="J1049" s="34"/>
    </row>
    <row r="1050" ht="15.75" customHeight="1" spans="10:10">
      <c r="J1050" s="34"/>
    </row>
    <row r="1051" ht="15.75" customHeight="1" spans="10:10">
      <c r="J1051" s="34"/>
    </row>
    <row r="1052" ht="15.75" customHeight="1" spans="10:10">
      <c r="J1052" s="34"/>
    </row>
    <row r="1053" ht="15.75" customHeight="1" spans="10:10">
      <c r="J1053" s="34"/>
    </row>
    <row r="1054" ht="15.75" customHeight="1" spans="10:10">
      <c r="J1054" s="34"/>
    </row>
    <row r="1055" ht="15.75" customHeight="1" spans="10:10">
      <c r="J1055" s="34"/>
    </row>
    <row r="1056" ht="15.75" customHeight="1" spans="10:10">
      <c r="J1056" s="34"/>
    </row>
    <row r="1057" ht="15.75" customHeight="1" spans="10:10">
      <c r="J1057" s="34"/>
    </row>
    <row r="1058" ht="15.75" customHeight="1" spans="10:10">
      <c r="J1058" s="34"/>
    </row>
    <row r="1059" ht="15.75" customHeight="1" spans="10:10">
      <c r="J1059" s="34"/>
    </row>
    <row r="1060" ht="15.75" customHeight="1" spans="10:10">
      <c r="J1060" s="34"/>
    </row>
    <row r="1061" ht="15.75" customHeight="1" spans="10:10">
      <c r="J1061" s="34"/>
    </row>
    <row r="1062" ht="15.75" customHeight="1" spans="10:10">
      <c r="J1062" s="34"/>
    </row>
    <row r="1063" ht="15.75" customHeight="1" spans="10:10">
      <c r="J1063" s="34"/>
    </row>
    <row r="1064" ht="15.75" customHeight="1" spans="10:10">
      <c r="J1064" s="34"/>
    </row>
    <row r="1065" ht="15.75" customHeight="1" spans="10:10">
      <c r="J1065" s="34"/>
    </row>
    <row r="1066" ht="15.75" customHeight="1" spans="10:10">
      <c r="J1066" s="34"/>
    </row>
    <row r="1067" ht="15.75" customHeight="1" spans="10:10">
      <c r="J1067" s="34"/>
    </row>
    <row r="1068" ht="15.75" customHeight="1" spans="10:10">
      <c r="J1068" s="34"/>
    </row>
    <row r="1069" ht="15.75" customHeight="1" spans="10:10">
      <c r="J1069" s="34"/>
    </row>
    <row r="1070" ht="15.75" customHeight="1" spans="10:10">
      <c r="J1070" s="34"/>
    </row>
    <row r="1071" ht="15.75" customHeight="1" spans="10:10">
      <c r="J1071" s="34"/>
    </row>
    <row r="1072" ht="15.75" customHeight="1" spans="10:10">
      <c r="J1072" s="34"/>
    </row>
    <row r="1073" ht="15.75" customHeight="1" spans="10:10">
      <c r="J1073" s="34"/>
    </row>
    <row r="1074" ht="15.75" customHeight="1" spans="10:10">
      <c r="J1074" s="34"/>
    </row>
    <row r="1075" ht="15.75" customHeight="1" spans="10:10">
      <c r="J1075" s="34"/>
    </row>
    <row r="1076" ht="15.75" customHeight="1" spans="10:10">
      <c r="J1076" s="34"/>
    </row>
    <row r="1077" ht="15.75" customHeight="1" spans="10:10">
      <c r="J1077" s="34"/>
    </row>
    <row r="1078" ht="15.75" customHeight="1" spans="10:10">
      <c r="J1078" s="34"/>
    </row>
    <row r="1079" ht="15.75" customHeight="1" spans="10:10">
      <c r="J1079" s="34"/>
    </row>
    <row r="1080" ht="15.75" customHeight="1" spans="10:10">
      <c r="J1080" s="34"/>
    </row>
    <row r="1081" ht="15.75" customHeight="1" spans="10:10">
      <c r="J1081" s="34"/>
    </row>
    <row r="1082" ht="15.75" customHeight="1" spans="10:10">
      <c r="J1082" s="34"/>
    </row>
    <row r="1083" ht="15.75" customHeight="1" spans="10:10">
      <c r="J1083" s="34"/>
    </row>
    <row r="1084" ht="15.75" customHeight="1" spans="10:10">
      <c r="J1084" s="34"/>
    </row>
    <row r="1085" ht="15.75" customHeight="1" spans="10:10">
      <c r="J1085" s="34"/>
    </row>
    <row r="1086" ht="15.75" customHeight="1" spans="10:10">
      <c r="J1086" s="34"/>
    </row>
    <row r="1087" ht="15.75" customHeight="1" spans="10:10">
      <c r="J1087" s="34"/>
    </row>
    <row r="1088" ht="15.75" customHeight="1" spans="10:10">
      <c r="J1088" s="34"/>
    </row>
    <row r="1089" ht="15.75" customHeight="1" spans="10:10">
      <c r="J1089" s="34"/>
    </row>
    <row r="1090" ht="15.75" customHeight="1" spans="10:10">
      <c r="J1090" s="34"/>
    </row>
    <row r="1091" ht="15.75" customHeight="1" spans="10:10">
      <c r="J1091" s="34"/>
    </row>
    <row r="1092" ht="15.75" customHeight="1" spans="10:10">
      <c r="J1092" s="34"/>
    </row>
    <row r="1093" ht="15.75" customHeight="1" spans="10:10">
      <c r="J1093" s="34"/>
    </row>
    <row r="1094" ht="15.75" customHeight="1" spans="10:10">
      <c r="J1094" s="34"/>
    </row>
    <row r="1095" ht="15.75" customHeight="1" spans="10:10">
      <c r="J1095" s="34"/>
    </row>
    <row r="1096" ht="15.75" customHeight="1" spans="10:10">
      <c r="J1096" s="34"/>
    </row>
    <row r="1097" ht="15.75" customHeight="1" spans="10:10">
      <c r="J1097" s="34"/>
    </row>
    <row r="1098" ht="15.75" customHeight="1" spans="10:10">
      <c r="J1098" s="34"/>
    </row>
    <row r="1099" ht="15.75" customHeight="1" spans="10:10">
      <c r="J1099" s="34"/>
    </row>
    <row r="1100" ht="15.75" customHeight="1" spans="10:10">
      <c r="J1100" s="34"/>
    </row>
    <row r="1101" ht="15.75" customHeight="1" spans="10:10">
      <c r="J1101" s="34"/>
    </row>
    <row r="1102" ht="15.75" customHeight="1" spans="10:10">
      <c r="J1102" s="34"/>
    </row>
    <row r="1103" ht="15.75" customHeight="1" spans="10:10">
      <c r="J1103" s="34"/>
    </row>
    <row r="1104" ht="15.75" customHeight="1" spans="10:10">
      <c r="J1104" s="34"/>
    </row>
    <row r="1105" ht="15.75" customHeight="1" spans="10:10">
      <c r="J1105" s="34"/>
    </row>
    <row r="1106" ht="15.75" customHeight="1" spans="10:10">
      <c r="J1106" s="34"/>
    </row>
    <row r="1107" ht="15.75" customHeight="1" spans="10:10">
      <c r="J1107" s="34"/>
    </row>
    <row r="1108" ht="15.75" customHeight="1" spans="10:10">
      <c r="J1108" s="34"/>
    </row>
    <row r="1109" ht="15.75" customHeight="1" spans="10:10">
      <c r="J1109" s="34"/>
    </row>
    <row r="1110" ht="15.75" customHeight="1" spans="10:10">
      <c r="J1110" s="34"/>
    </row>
    <row r="1111" ht="15.75" customHeight="1" spans="10:10">
      <c r="J1111" s="34"/>
    </row>
    <row r="1112" ht="15.75" customHeight="1" spans="10:10">
      <c r="J1112" s="34"/>
    </row>
    <row r="1113" ht="15.75" customHeight="1" spans="10:10">
      <c r="J1113" s="34"/>
    </row>
    <row r="1114" ht="15.75" customHeight="1" spans="10:10">
      <c r="J1114" s="34"/>
    </row>
    <row r="1115" ht="15.75" customHeight="1" spans="10:10">
      <c r="J1115" s="34"/>
    </row>
    <row r="1116" ht="15.75" customHeight="1" spans="10:10">
      <c r="J1116" s="34"/>
    </row>
    <row r="1117" ht="15.75" customHeight="1" spans="10:10">
      <c r="J1117" s="34"/>
    </row>
    <row r="1118" ht="15.75" customHeight="1" spans="10:10">
      <c r="J1118" s="34"/>
    </row>
    <row r="1119" ht="15.75" customHeight="1" spans="10:10">
      <c r="J1119" s="34"/>
    </row>
    <row r="1120" ht="15.75" customHeight="1" spans="10:10">
      <c r="J1120" s="34"/>
    </row>
    <row r="1121" ht="15.75" customHeight="1" spans="10:10">
      <c r="J1121" s="34"/>
    </row>
    <row r="1122" ht="15.75" customHeight="1" spans="10:10">
      <c r="J1122" s="34"/>
    </row>
    <row r="1123" ht="15.75" customHeight="1" spans="10:10">
      <c r="J1123" s="34"/>
    </row>
    <row r="1124" ht="15.75" customHeight="1" spans="10:10">
      <c r="J1124" s="34"/>
    </row>
    <row r="1125" ht="15.75" customHeight="1" spans="10:10">
      <c r="J1125" s="34"/>
    </row>
    <row r="1126" ht="15.75" customHeight="1" spans="10:10">
      <c r="J1126" s="34"/>
    </row>
    <row r="1127" ht="15.75" customHeight="1" spans="10:10">
      <c r="J1127" s="34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1"/>
  <sheetViews>
    <sheetView workbookViewId="0">
      <selection activeCell="C8" sqref="C8"/>
    </sheetView>
  </sheetViews>
  <sheetFormatPr defaultColWidth="14.4285714285714" defaultRowHeight="15" customHeight="1"/>
  <cols>
    <col min="1" max="2" width="39.2857142857143" customWidth="1"/>
    <col min="3" max="3" width="11.8571428571429" customWidth="1"/>
    <col min="4" max="4" width="12.8571428571429" customWidth="1"/>
    <col min="5" max="5" width="13.5714285714286" customWidth="1"/>
    <col min="6" max="6" width="11" customWidth="1"/>
    <col min="7" max="8" width="11.2857142857143" customWidth="1"/>
    <col min="9" max="9" width="13.4285714285714" customWidth="1"/>
    <col min="10" max="10" width="12.4285714285714" customWidth="1"/>
    <col min="11" max="11" width="7.71428571428571" customWidth="1"/>
    <col min="12" max="12" width="9.85714285714286" customWidth="1"/>
    <col min="13" max="13" width="20.7142857142857" customWidth="1"/>
    <col min="14" max="14" width="23.7142857142857" customWidth="1"/>
    <col min="15" max="15" width="82.4285714285714" customWidth="1"/>
    <col min="16" max="29" width="8.71428571428571" customWidth="1"/>
  </cols>
  <sheetData>
    <row r="1" customHeight="1" spans="1:29">
      <c r="A1" s="8" t="s">
        <v>0</v>
      </c>
      <c r="B1" s="9" t="s">
        <v>10</v>
      </c>
      <c r="C1" s="10" t="s">
        <v>433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434</v>
      </c>
      <c r="L1" s="10" t="s">
        <v>18</v>
      </c>
      <c r="M1" s="10" t="s">
        <v>19</v>
      </c>
      <c r="N1" s="10" t="s">
        <v>22</v>
      </c>
      <c r="O1" s="10" t="s">
        <v>435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customHeight="1" spans="1:29">
      <c r="A2" s="11" t="s">
        <v>70</v>
      </c>
      <c r="B2" s="12">
        <f>C2/D2</f>
        <v>225496.789473684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72</v>
      </c>
      <c r="K2" s="14">
        <v>1</v>
      </c>
      <c r="L2" s="19" t="s">
        <v>41</v>
      </c>
      <c r="M2" s="19" t="s">
        <v>73</v>
      </c>
      <c r="N2" s="15">
        <v>45261</v>
      </c>
      <c r="O2" s="20" t="s">
        <v>436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11" t="s">
        <v>84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Height="1" spans="1:29">
      <c r="A4" s="11" t="s">
        <v>98</v>
      </c>
      <c r="B4" s="12">
        <f t="shared" si="0"/>
        <v>32138.3076923077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82</v>
      </c>
      <c r="N4" s="15">
        <v>45323</v>
      </c>
      <c r="O4" s="20" t="s">
        <v>436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Height="1" spans="1:29">
      <c r="A5" s="11" t="s">
        <v>70</v>
      </c>
      <c r="B5" s="12">
        <f t="shared" si="0"/>
        <v>470236.894736842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41</v>
      </c>
      <c r="M5" s="19" t="s">
        <v>104</v>
      </c>
      <c r="N5" s="21"/>
      <c r="O5" s="22" t="s">
        <v>436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Height="1" spans="1:29">
      <c r="A6" s="11" t="s">
        <v>84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Height="1" spans="1:29">
      <c r="A7" s="11" t="s">
        <v>181</v>
      </c>
      <c r="B7" s="12">
        <f t="shared" si="0"/>
        <v>42887.3596986817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86</v>
      </c>
      <c r="N7" s="21"/>
      <c r="O7" s="22" t="s">
        <v>436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Height="1" spans="1:29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Height="1" spans="1:29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customHeight="1" spans="1:29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customHeight="1" spans="1:29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Height="1" spans="1:29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customHeight="1" spans="1:29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customHeight="1" spans="1:29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customHeight="1" spans="1:29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Height="1" spans="1:29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customHeight="1" spans="1:29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Height="1" spans="1:29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customHeight="1" spans="1:29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customHeight="1" spans="1:29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customHeight="1" spans="1:29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customHeight="1" spans="1:29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customHeight="1" spans="1:29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customHeight="1" spans="1:29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customHeight="1" spans="1:29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customHeight="1" spans="1:29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customHeight="1" spans="1:29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customHeight="1" spans="1:29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customHeight="1" spans="1:29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customHeight="1" spans="1:29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customHeight="1" spans="1:29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customHeight="1" spans="1:29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customHeight="1" spans="1:29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customHeight="1" spans="1:29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customHeight="1" spans="1:29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customHeight="1" spans="1:29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customHeight="1" spans="1:29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customHeight="1" spans="1:29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customHeight="1" spans="1:29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customHeight="1" spans="1:29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customHeight="1" spans="1:29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customHeight="1" spans="1:29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customHeight="1" spans="1:29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customHeight="1" spans="1:29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customHeight="1" spans="1:29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customHeight="1" spans="1:29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customHeight="1" spans="1:29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customHeight="1" spans="1:29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customHeight="1" spans="1:29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customHeight="1" spans="1:29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customHeight="1" spans="1:29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customHeight="1" spans="1:29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customHeight="1" spans="1:29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customHeight="1" spans="1:29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customHeight="1" spans="1:29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customHeight="1" spans="1:29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customHeight="1" spans="1:29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customHeight="1" spans="1:29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customHeight="1" spans="1:29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customHeight="1" spans="1:29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customHeight="1" spans="1:29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customHeight="1" spans="1:29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customHeight="1" spans="1:29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customHeight="1" spans="1:29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customHeight="1" spans="1:29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customHeight="1" spans="1:29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customHeight="1" spans="1:29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customHeight="1" spans="1:29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customHeight="1" spans="1:29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customHeight="1" spans="1:29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customHeight="1" spans="1:29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customHeight="1" spans="1:29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customHeight="1" spans="1:29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customHeight="1" spans="1:29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customHeight="1" spans="1:29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customHeight="1" spans="1:29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customHeight="1" spans="1:29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customHeight="1" spans="1:29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customHeight="1" spans="1:29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customHeight="1" spans="1:29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customHeight="1" spans="1:29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customHeight="1" spans="1:29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customHeight="1" spans="1:29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customHeight="1" spans="1:29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customHeight="1" spans="1:29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customHeight="1" spans="1:29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customHeight="1" spans="1:29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customHeight="1" spans="1:29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customHeight="1" spans="1:29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customHeight="1" spans="1:29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customHeight="1" spans="1:29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customHeight="1" spans="1:29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customHeight="1" spans="1:29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customHeight="1" spans="1:29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customHeight="1" spans="1:29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customHeight="1" spans="1:29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customHeight="1" spans="1:29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customHeight="1" spans="1:29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customHeight="1" spans="1:29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customHeight="1" spans="1:29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customHeight="1" spans="1:29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customHeight="1" spans="1:29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customHeight="1" spans="1:29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customHeight="1" spans="1:29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customHeight="1" spans="1:29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customHeight="1" spans="1:29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customHeight="1" spans="1:29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customHeight="1" spans="1:29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customHeight="1" spans="1:29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customHeight="1" spans="1:29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customHeight="1" spans="1:29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customHeight="1" spans="1:29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customHeight="1" spans="1:29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customHeight="1" spans="1:29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customHeight="1" spans="1:29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customHeight="1" spans="1:29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customHeight="1" spans="1:29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customHeight="1" spans="1:29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customHeight="1" spans="1:29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customHeight="1" spans="1:29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customHeight="1" spans="1:29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customHeight="1" spans="1:29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customHeight="1" spans="1:29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customHeight="1" spans="1:29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customHeight="1" spans="1:29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customHeight="1" spans="1:29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customHeight="1" spans="1:29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customHeight="1" spans="1:29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customHeight="1" spans="1:29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customHeight="1" spans="1:29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customHeight="1" spans="1:29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customHeight="1" spans="1:29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customHeight="1" spans="1:29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customHeight="1" spans="1:29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customHeight="1" spans="1:29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customHeight="1" spans="1:29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customHeight="1" spans="1:29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customHeight="1" spans="1:29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customHeight="1" spans="1:29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customHeight="1" spans="1:29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customHeight="1" spans="1:29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customHeight="1" spans="1:29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customHeight="1" spans="1:29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customHeight="1" spans="1:29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customHeight="1" spans="1:29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customHeight="1" spans="1:29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customHeight="1" spans="1:29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customHeight="1" spans="1:29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customHeight="1" spans="1:29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customHeight="1" spans="1:29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customHeight="1" spans="1:29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customHeight="1" spans="1:29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customHeight="1" spans="1:29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customHeight="1" spans="1:29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customHeight="1" spans="1:29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customHeight="1" spans="1:29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customHeight="1" spans="1:29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customHeight="1" spans="1:29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customHeight="1" spans="1:29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customHeight="1" spans="1:29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customHeight="1" spans="1:29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customHeight="1" spans="1:29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customHeight="1" spans="1:29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customHeight="1" spans="1:29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customHeight="1" spans="1:29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customHeight="1" spans="1:29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customHeight="1" spans="1:29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customHeight="1" spans="1:29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customHeight="1" spans="1:29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customHeight="1" spans="1:29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customHeight="1" spans="1:29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customHeight="1" spans="1:29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customHeight="1" spans="1:29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customHeight="1" spans="1:29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customHeight="1" spans="1:29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customHeight="1" spans="1:29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customHeight="1" spans="1:29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customHeight="1" spans="1:29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customHeight="1" spans="1:29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customHeight="1" spans="1:29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customHeight="1" spans="1:29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customHeight="1" spans="1:29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customHeight="1" spans="1:29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customHeight="1" spans="1:29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customHeight="1" spans="1:29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customHeight="1" spans="1:29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customHeight="1" spans="1:29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customHeight="1" spans="1:29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customHeight="1" spans="1:29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customHeight="1" spans="1:29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customHeight="1" spans="1:29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customHeight="1" spans="1:29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customHeight="1" spans="1:29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customHeight="1" spans="1:29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customHeight="1" spans="1:29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customHeight="1" spans="1:29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customHeight="1" spans="1:29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customHeight="1" spans="1:29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customHeight="1" spans="1:29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customHeight="1" spans="1:29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customHeight="1" spans="1:29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customHeight="1" spans="1:29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customHeight="1" spans="1:29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customHeight="1" spans="1:29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customHeight="1" spans="1:29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customHeight="1" spans="1:29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customHeight="1" spans="1:29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customHeight="1" spans="1:29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customHeight="1" spans="1:29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customHeight="1" spans="1:29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customHeight="1" spans="1:29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customHeight="1" spans="1:29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customHeight="1" spans="1:29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customHeight="1" spans="1:29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customHeight="1" spans="1:29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customHeight="1" spans="1:29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customHeight="1" spans="1:29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customHeight="1" spans="1:29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customHeight="1" spans="1:29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customHeight="1" spans="1:29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customHeight="1" spans="1:29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customHeight="1" spans="1:29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customHeight="1" spans="1:29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customHeight="1" spans="1:29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customHeight="1" spans="1:29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customHeight="1" spans="1:29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customHeight="1" spans="1:29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customHeight="1" spans="1:29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customHeight="1" spans="1:29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customHeight="1" spans="1:29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customHeight="1" spans="1:29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customHeight="1" spans="1:29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customHeight="1" spans="1:29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customHeight="1" spans="1:29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customHeight="1" spans="1:29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customHeight="1" spans="1:29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customHeight="1" spans="1:29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customHeight="1" spans="1:29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customHeight="1" spans="1:29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customHeight="1" spans="1:29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customHeight="1" spans="1:29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customHeight="1" spans="1:29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customHeight="1" spans="1:29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customHeight="1" spans="1:29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customHeight="1" spans="1:29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customHeight="1" spans="1:29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customHeight="1" spans="1:29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customHeight="1" spans="1:29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customHeight="1" spans="1:29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customHeight="1" spans="1:29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customHeight="1" spans="1:29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customHeight="1" spans="1:29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customHeight="1" spans="1:29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customHeight="1" spans="1:29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customHeight="1" spans="1:29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customHeight="1" spans="1:29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customHeight="1" spans="1:29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customHeight="1" spans="1:29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customHeight="1" spans="1:29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customHeight="1" spans="1:29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customHeight="1" spans="1:29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customHeight="1" spans="1:29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customHeight="1" spans="1:29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customHeight="1" spans="1:29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customHeight="1" spans="1:29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customHeight="1" spans="1:29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customHeight="1" spans="1:29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customHeight="1" spans="1:29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customHeight="1" spans="1:29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customHeight="1" spans="1:29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customHeight="1" spans="1:29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customHeight="1" spans="1:29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customHeight="1" spans="1:29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customHeight="1" spans="1:29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customHeight="1" spans="1:29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customHeight="1" spans="1:29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customHeight="1" spans="1:29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customHeight="1" spans="1:29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customHeight="1" spans="1:29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customHeight="1" spans="1:29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customHeight="1" spans="1:29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customHeight="1" spans="1:29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customHeight="1" spans="1:29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customHeight="1" spans="1:29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customHeight="1" spans="1:29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customHeight="1" spans="1:29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customHeight="1" spans="1:29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customHeight="1" spans="1:29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customHeight="1" spans="1:29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customHeight="1" spans="1:29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customHeight="1" spans="1:29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customHeight="1" spans="1:29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customHeight="1" spans="1:29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customHeight="1" spans="1:29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customHeight="1" spans="1:29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customHeight="1" spans="1:29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customHeight="1" spans="1:29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customHeight="1" spans="1:29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customHeight="1" spans="1:29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customHeight="1" spans="1:29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customHeight="1" spans="1:29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customHeight="1" spans="1:29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customHeight="1" spans="1:29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customHeight="1" spans="1:29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customHeight="1" spans="1:29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customHeight="1" spans="1:29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customHeight="1" spans="1:29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customHeight="1" spans="1:29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customHeight="1" spans="1:29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customHeight="1" spans="1:29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customHeight="1" spans="1:29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customHeight="1" spans="1:29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customHeight="1" spans="1:29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customHeight="1" spans="1:29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customHeight="1" spans="1:29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customHeight="1" spans="1:29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customHeight="1" spans="1:29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customHeight="1" spans="1:29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customHeight="1" spans="1:29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customHeight="1" spans="1:29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customHeight="1" spans="1:29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customHeight="1" spans="1:29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customHeight="1" spans="1:29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customHeight="1" spans="1:29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customHeight="1" spans="1:29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customHeight="1" spans="1:29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customHeight="1" spans="1:29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customHeight="1" spans="1:29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customHeight="1" spans="1:29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customHeight="1" spans="1:29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customHeight="1" spans="1:29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customHeight="1" spans="1:29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customHeight="1" spans="1:29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customHeight="1" spans="1:29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customHeight="1" spans="1:29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customHeight="1" spans="1:29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customHeight="1" spans="1:29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customHeight="1" spans="1:29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customHeight="1" spans="1:29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customHeight="1" spans="1:29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customHeight="1" spans="1:29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customHeight="1" spans="1:29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customHeight="1" spans="1:29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customHeight="1" spans="1:29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customHeight="1" spans="1:29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customHeight="1" spans="1:29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customHeight="1" spans="1:29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customHeight="1" spans="1:29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customHeight="1" spans="1:29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customHeight="1" spans="1:29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customHeight="1" spans="1:29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customHeight="1" spans="1:29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customHeight="1" spans="1:29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customHeight="1" spans="1:29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customHeight="1" spans="1:29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customHeight="1" spans="1:29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customHeight="1" spans="1:29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customHeight="1" spans="1:29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customHeight="1" spans="1:29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customHeight="1" spans="1:29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customHeight="1" spans="1:29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customHeight="1" spans="1:29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customHeight="1" spans="1:29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customHeight="1" spans="1:29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customHeight="1" spans="1:29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customHeight="1" spans="1:29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customHeight="1" spans="1:29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customHeight="1" spans="1:29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customHeight="1" spans="1:29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customHeight="1" spans="1:29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customHeight="1" spans="1:29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customHeight="1" spans="1:29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customHeight="1" spans="1:29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customHeight="1" spans="1:29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customHeight="1" spans="1:29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customHeight="1" spans="1:29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customHeight="1" spans="1:29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customHeight="1" spans="1:29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customHeight="1" spans="1:29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customHeight="1" spans="1:29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customHeight="1" spans="1:29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customHeight="1" spans="1:29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customHeight="1" spans="1:29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customHeight="1" spans="1:29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customHeight="1" spans="1:29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customHeight="1" spans="1:29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customHeight="1" spans="1:29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customHeight="1" spans="1:29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customHeight="1" spans="1:29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customHeight="1" spans="1:29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customHeight="1" spans="1:29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customHeight="1" spans="1:29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customHeight="1" spans="1:29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customHeight="1" spans="1:29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customHeight="1" spans="1:29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customHeight="1" spans="1:29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customHeight="1" spans="1:29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customHeight="1" spans="1:29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customHeight="1" spans="1:29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customHeight="1" spans="1:29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customHeight="1" spans="1:29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customHeight="1" spans="1:29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customHeight="1" spans="1:29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customHeight="1" spans="1:29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customHeight="1" spans="1:29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customHeight="1" spans="1:29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customHeight="1" spans="1:29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customHeight="1" spans="1:29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customHeight="1" spans="1:29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customHeight="1" spans="1:29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customHeight="1" spans="1:29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customHeight="1" spans="1:29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customHeight="1" spans="1:29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customHeight="1" spans="1:29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customHeight="1" spans="1:29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customHeight="1" spans="1:29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customHeight="1" spans="1:29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customHeight="1" spans="1:29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customHeight="1" spans="1:29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customHeight="1" spans="1:29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customHeight="1" spans="1:29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customHeight="1" spans="1:29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customHeight="1" spans="1:29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customHeight="1" spans="1:29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customHeight="1" spans="1:29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customHeight="1" spans="1:29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customHeight="1" spans="1:29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customHeight="1" spans="1:29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customHeight="1" spans="1:29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customHeight="1" spans="1:29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customHeight="1" spans="1:29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customHeight="1" spans="1:29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customHeight="1" spans="1:29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customHeight="1" spans="1:29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customHeight="1" spans="1:29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customHeight="1" spans="1:29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customHeight="1" spans="1:29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customHeight="1" spans="1:29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customHeight="1" spans="1:29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customHeight="1" spans="1:29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customHeight="1" spans="1:29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customHeight="1" spans="1:29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customHeight="1" spans="1:29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customHeight="1" spans="1:29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customHeight="1" spans="1:29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customHeight="1" spans="1:29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customHeight="1" spans="1:29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customHeight="1" spans="1:29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customHeight="1" spans="1:29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customHeight="1" spans="1:29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customHeight="1" spans="1:29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customHeight="1" spans="1:29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customHeight="1" spans="1:29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customHeight="1" spans="1:29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customHeight="1" spans="1:29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customHeight="1" spans="1:29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customHeight="1" spans="1:29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customHeight="1" spans="1:29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customHeight="1" spans="1:29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customHeight="1" spans="1:29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customHeight="1" spans="1:29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customHeight="1" spans="1:29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customHeight="1" spans="1:29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customHeight="1" spans="1:29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customHeight="1" spans="1:29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customHeight="1" spans="1:29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customHeight="1" spans="1:29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customHeight="1" spans="1:29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customHeight="1" spans="1:29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customHeight="1" spans="1:29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customHeight="1" spans="1:29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customHeight="1" spans="1:29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customHeight="1" spans="1:29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customHeight="1" spans="1:29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customHeight="1" spans="1:29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customHeight="1" spans="1:29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customHeight="1" spans="1:29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customHeight="1" spans="1:29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customHeight="1" spans="1:29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customHeight="1" spans="1:29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customHeight="1" spans="1:29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customHeight="1" spans="1:29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customHeight="1" spans="1:29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customHeight="1" spans="1:29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customHeight="1" spans="1:29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customHeight="1" spans="1:29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customHeight="1" spans="1:29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customHeight="1" spans="1:29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customHeight="1" spans="1:29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customHeight="1" spans="1:29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customHeight="1" spans="1:29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customHeight="1" spans="1:29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customHeight="1" spans="1:29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customHeight="1" spans="1:29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customHeight="1" spans="1:29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customHeight="1" spans="1:29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customHeight="1" spans="1:29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customHeight="1" spans="1:29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customHeight="1" spans="1:29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customHeight="1" spans="1:29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customHeight="1" spans="1:29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customHeight="1" spans="1:29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customHeight="1" spans="1:29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customHeight="1" spans="1:29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customHeight="1" spans="1:29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customHeight="1" spans="1:29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customHeight="1" spans="1:29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customHeight="1" spans="1:29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customHeight="1" spans="1:29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customHeight="1" spans="1:29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customHeight="1" spans="1:29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customHeight="1" spans="1:29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customHeight="1" spans="1:29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customHeight="1" spans="1:29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customHeight="1" spans="1:29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customHeight="1" spans="1:29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customHeight="1" spans="1:29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customHeight="1" spans="1:29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customHeight="1" spans="1:29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customHeight="1" spans="1:29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customHeight="1" spans="1:29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customHeight="1" spans="1:29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customHeight="1" spans="1:29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customHeight="1" spans="1:29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customHeight="1" spans="1:29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customHeight="1" spans="1:29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customHeight="1" spans="1:29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customHeight="1" spans="1:29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customHeight="1" spans="1:29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customHeight="1" spans="1:29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customHeight="1" spans="1:29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customHeight="1" spans="1:29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customHeight="1" spans="1:29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customHeight="1" spans="1:29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customHeight="1" spans="1:29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customHeight="1" spans="1:29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customHeight="1" spans="1:29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customHeight="1" spans="1:29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customHeight="1" spans="1:29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customHeight="1" spans="1:29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customHeight="1" spans="1:29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customHeight="1" spans="1:29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customHeight="1" spans="1:29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customHeight="1" spans="1:29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customHeight="1" spans="1:29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customHeight="1" spans="1:29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customHeight="1" spans="1:29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customHeight="1" spans="1:29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customHeight="1" spans="1:29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customHeight="1" spans="1:29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customHeight="1" spans="1:29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customHeight="1" spans="1:29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customHeight="1" spans="1:29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customHeight="1" spans="1:29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customHeight="1" spans="1:29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customHeight="1" spans="1:29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customHeight="1" spans="1:29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customHeight="1" spans="1:29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customHeight="1" spans="1:29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customHeight="1" spans="1:29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customHeight="1" spans="1:29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customHeight="1" spans="1:29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customHeight="1" spans="1:29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customHeight="1" spans="1:29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customHeight="1" spans="1:29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customHeight="1" spans="1:29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customHeight="1" spans="1:29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customHeight="1" spans="1:29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customHeight="1" spans="1:29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customHeight="1" spans="1:29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customHeight="1" spans="1:29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customHeight="1" spans="1:29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customHeight="1" spans="1:29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customHeight="1" spans="1:29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customHeight="1" spans="1:29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customHeight="1" spans="1:29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customHeight="1" spans="1:29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customHeight="1" spans="1:29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customHeight="1" spans="1:29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customHeight="1" spans="1:29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customHeight="1" spans="1:29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customHeight="1" spans="1:29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customHeight="1" spans="1:29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customHeight="1" spans="1:29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customHeight="1" spans="1:29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customHeight="1" spans="1:29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customHeight="1" spans="1:29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customHeight="1" spans="1:29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customHeight="1" spans="1:29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customHeight="1" spans="1:29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customHeight="1" spans="1:29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customHeight="1" spans="1:29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customHeight="1" spans="1:29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customHeight="1" spans="1:29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customHeight="1" spans="1:29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customHeight="1" spans="1:29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customHeight="1" spans="1:29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customHeight="1" spans="1:29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customHeight="1" spans="1:29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customHeight="1" spans="1:29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customHeight="1" spans="1:29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customHeight="1" spans="1:29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customHeight="1" spans="1:29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customHeight="1" spans="1:29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customHeight="1" spans="1:29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customHeight="1" spans="1:29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customHeight="1" spans="1:29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customHeight="1" spans="1:29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customHeight="1" spans="1:29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customHeight="1" spans="1:29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customHeight="1" spans="1:29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customHeight="1" spans="1:29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customHeight="1" spans="1:29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customHeight="1" spans="1:29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customHeight="1" spans="1:29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customHeight="1" spans="1:29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customHeight="1" spans="1:29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customHeight="1" spans="1:29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customHeight="1" spans="1:29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customHeight="1" spans="1:29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customHeight="1" spans="1:29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customHeight="1" spans="1:29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customHeight="1" spans="1:29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customHeight="1" spans="1:29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customHeight="1" spans="1:29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customHeight="1" spans="1:29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customHeight="1" spans="1:29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customHeight="1" spans="1:29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customHeight="1" spans="1:29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customHeight="1" spans="1:29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customHeight="1" spans="1:29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customHeight="1" spans="1:29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customHeight="1" spans="1:29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customHeight="1" spans="1:29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customHeight="1" spans="1:29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customHeight="1" spans="1:29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customHeight="1" spans="1:29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customHeight="1" spans="1:29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customHeight="1" spans="1:29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customHeight="1" spans="1:29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customHeight="1" spans="1:29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customHeight="1" spans="1:29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customHeight="1" spans="1:29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customHeight="1" spans="1:29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customHeight="1" spans="1:29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customHeight="1" spans="1:29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customHeight="1" spans="1:29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customHeight="1" spans="1:29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customHeight="1" spans="1:29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customHeight="1" spans="1:29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customHeight="1" spans="1:29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customHeight="1" spans="1:29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customHeight="1" spans="1:29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customHeight="1" spans="1:29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customHeight="1" spans="1:29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customHeight="1" spans="1:29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customHeight="1" spans="1:29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customHeight="1" spans="1:29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customHeight="1" spans="1:29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customHeight="1" spans="1:29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customHeight="1" spans="1:29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customHeight="1" spans="1:29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customHeight="1" spans="1:29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customHeight="1" spans="1:29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customHeight="1" spans="1:29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customHeight="1" spans="1:29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customHeight="1" spans="1:29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customHeight="1" spans="1:29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customHeight="1" spans="1:29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customHeight="1" spans="1:29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customHeight="1" spans="1:29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customHeight="1" spans="1:29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customHeight="1" spans="1:29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customHeight="1" spans="1:29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customHeight="1" spans="1:29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customHeight="1" spans="1:29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customHeight="1" spans="1:29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customHeight="1" spans="1:29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customHeight="1" spans="1:29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customHeight="1" spans="1:29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customHeight="1" spans="1:29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customHeight="1" spans="1:29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customHeight="1" spans="1:29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customHeight="1" spans="1:29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customHeight="1" spans="1:29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customHeight="1" spans="1:29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customHeight="1" spans="1:29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customHeight="1" spans="1:29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customHeight="1" spans="1:29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customHeight="1" spans="1:29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customHeight="1" spans="1:29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customHeight="1" spans="1:29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customHeight="1" spans="1:29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customHeight="1" spans="1:29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customHeight="1" spans="1:29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customHeight="1" spans="1:29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customHeight="1" spans="1:29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customHeight="1" spans="1:29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customHeight="1" spans="1:29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customHeight="1" spans="1:29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customHeight="1" spans="1:29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customHeight="1" spans="1:29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customHeight="1" spans="1:29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customHeight="1" spans="1:29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customHeight="1" spans="1:29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customHeight="1" spans="1:29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customHeight="1" spans="1:29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customHeight="1" spans="1:29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customHeight="1" spans="1:29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customHeight="1" spans="1:29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customHeight="1" spans="1:29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customHeight="1" spans="1:29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customHeight="1" spans="1:29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customHeight="1" spans="1:29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customHeight="1" spans="1:29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customHeight="1" spans="1:29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customHeight="1" spans="1:29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customHeight="1" spans="1:29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customHeight="1" spans="1:29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customHeight="1" spans="1:29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customHeight="1" spans="1:29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customHeight="1" spans="1:29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customHeight="1" spans="1:29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customHeight="1" spans="1:29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customHeight="1" spans="1:29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customHeight="1" spans="1:29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customHeight="1" spans="1:29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customHeight="1" spans="1:29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customHeight="1" spans="1:29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customHeight="1" spans="1:29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customHeight="1" spans="1:29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customHeight="1" spans="1:29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customHeight="1" spans="1:29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customHeight="1" spans="1:29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customHeight="1" spans="1:29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customHeight="1" spans="1:29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customHeight="1" spans="1:29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customHeight="1" spans="1:29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customHeight="1" spans="1:29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customHeight="1" spans="1:29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customHeight="1" spans="1:29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customHeight="1" spans="1:29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customHeight="1" spans="1:29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customHeight="1" spans="1:29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customHeight="1" spans="1:29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customHeight="1" spans="1:29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customHeight="1" spans="1:29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customHeight="1" spans="1:29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customHeight="1" spans="1:29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customHeight="1" spans="1:29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customHeight="1" spans="1:29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customHeight="1" spans="1:29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customHeight="1" spans="1:29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customHeight="1" spans="1:29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customHeight="1" spans="1:29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customHeight="1" spans="1:29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customHeight="1" spans="1:29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customHeight="1" spans="1:29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customHeight="1" spans="1:29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customHeight="1" spans="1:29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customHeight="1" spans="1:29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customHeight="1" spans="1:29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customHeight="1" spans="1:29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customHeight="1" spans="1:29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customHeight="1" spans="1:29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customHeight="1" spans="1:29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customHeight="1" spans="1:29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customHeight="1" spans="1:29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customHeight="1" spans="1:29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customHeight="1" spans="1:29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customHeight="1" spans="1:29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customHeight="1" spans="1:29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customHeight="1" spans="1:29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customHeight="1" spans="1:29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customHeight="1" spans="1:29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customHeight="1" spans="1:29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customHeight="1" spans="1:29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customHeight="1" spans="1:29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customHeight="1" spans="1:29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customHeight="1" spans="1:29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customHeight="1" spans="1:29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customHeight="1" spans="1:29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customHeight="1" spans="1:29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customHeight="1" spans="1:29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customHeight="1" spans="1:29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customHeight="1" spans="1:29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customHeight="1" spans="1:29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customHeight="1" spans="1:29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customHeight="1" spans="1:29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customHeight="1" spans="1:29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customHeight="1" spans="1:29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customHeight="1" spans="1:29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customHeight="1" spans="1:29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customHeight="1" spans="1:29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customHeight="1" spans="1:29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customHeight="1" spans="1:29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customHeight="1" spans="1:29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customHeight="1" spans="1:29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customHeight="1" spans="1:29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customHeight="1" spans="1:29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customHeight="1" spans="1:29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customHeight="1" spans="1:29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customHeight="1" spans="1:29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customHeight="1" spans="1:29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customHeight="1" spans="1:29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customHeight="1" spans="1:29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customHeight="1" spans="1:29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customHeight="1" spans="1:29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customHeight="1" spans="1:29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customHeight="1" spans="1:29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customHeight="1" spans="1:29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customHeight="1" spans="1:29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customHeight="1" spans="1:29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customHeight="1" spans="1:29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customHeight="1" spans="1:29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customHeight="1" spans="1:29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customHeight="1" spans="1:29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customHeight="1" spans="1:29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customHeight="1" spans="1:29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customHeight="1" spans="1:29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customHeight="1" spans="1:29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customHeight="1" spans="1:29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customHeight="1" spans="1:29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customHeight="1" spans="1:29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customHeight="1" spans="1:29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customHeight="1" spans="1:29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customHeight="1" spans="1:29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customHeight="1" spans="1:29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customHeight="1" spans="1:29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customHeight="1" spans="1:29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customHeight="1" spans="1:29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customHeight="1" spans="1:29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customHeight="1" spans="1:29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customHeight="1" spans="1:29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customHeight="1" spans="1:29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customHeight="1" spans="1:29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customHeight="1" spans="1:29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customHeight="1" spans="1:29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customHeight="1" spans="1:29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customHeight="1" spans="1:29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customHeight="1" spans="1:29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customHeight="1" spans="1:29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customHeight="1" spans="1:29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customHeight="1" spans="1:29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customHeight="1" spans="1:29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customHeight="1" spans="1:29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customHeight="1" spans="1:29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customHeight="1" spans="1:29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customHeight="1" spans="1:29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customHeight="1" spans="1:29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customHeight="1" spans="1:29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customHeight="1" spans="1:29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customHeight="1" spans="1:29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customHeight="1" spans="1:29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customHeight="1" spans="1:29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customHeight="1" spans="1:29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customHeight="1" spans="1:29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customHeight="1" spans="1:29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customHeight="1" spans="1:29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customHeight="1" spans="1:29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customHeight="1" spans="1:29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customHeight="1" spans="1:29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customHeight="1" spans="1:29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customHeight="1" spans="1:29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customHeight="1" spans="1:29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customHeight="1" spans="1:29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customHeight="1" spans="1:29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customHeight="1" spans="1:29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customHeight="1" spans="1:29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customHeight="1" spans="1:29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customHeight="1" spans="1:29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customHeight="1" spans="1:29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customHeight="1" spans="1:29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customHeight="1" spans="1:29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customHeight="1" spans="1:29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customHeight="1" spans="1:29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customHeight="1" spans="1:29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customHeight="1" spans="1:29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customHeight="1" spans="1:29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customHeight="1" spans="1:29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customHeight="1" spans="1:29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customHeight="1" spans="1:29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customHeight="1" spans="1:29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customHeight="1" spans="1:29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customHeight="1" spans="1:29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customHeight="1" spans="1:29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customHeight="1" spans="1:29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customHeight="1" spans="1:29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customHeight="1" spans="1:29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customHeight="1" spans="1:29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customHeight="1" spans="1:29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customHeight="1" spans="1:29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customHeight="1" spans="1:29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customHeight="1" spans="1:29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customHeight="1" spans="1:29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customHeight="1" spans="1:29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customHeight="1" spans="1:29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customHeight="1" spans="1:29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customHeight="1" spans="1:29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customHeight="1" spans="1:29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customHeight="1" spans="1:29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customHeight="1" spans="1:29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customHeight="1" spans="1:29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customHeight="1" spans="1:29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customHeight="1" spans="1:29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customHeight="1" spans="1:29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customHeight="1" spans="1:29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customHeight="1" spans="1:29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customHeight="1" spans="1:29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customHeight="1" spans="1:29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customHeight="1" spans="1:29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customHeight="1" spans="1:29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customHeight="1" spans="1:29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customHeight="1" spans="1:29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customHeight="1" spans="1:29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display="https://drive.google.com/drive/u/0/folders/1zLG-YyUJVqZB5-Lznqz8LzfhkqrH2iOU"/>
    <hyperlink ref="O3" r:id="rId1" display="https://drive.google.com/drive/u/0/folders/1zLG-YyUJVqZB5-Lznqz8LzfhkqrH2iOU"/>
    <hyperlink ref="O4" r:id="rId1" display="https://drive.google.com/drive/u/0/folders/1zLG-YyUJVqZB5-Lznqz8LzfhkqrH2iOU"/>
    <hyperlink ref="O5" r:id="rId1" display="https://drive.google.com/drive/u/0/folders/1zLG-YyUJVqZB5-Lznqz8LzfhkqrH2iOU"/>
    <hyperlink ref="O6" r:id="rId1" display="https://drive.google.com/drive/u/0/folders/1zLG-YyUJVqZB5-Lznqz8LzfhkqrH2iOU"/>
    <hyperlink ref="O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85714285714" defaultRowHeight="15" customHeight="1"/>
  <sheetData>
    <row r="4" customHeight="1" spans="2:14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customHeight="1" spans="2:14">
      <c r="B5" s="1"/>
      <c r="C5" s="1" t="s">
        <v>437</v>
      </c>
      <c r="D5" s="1" t="s">
        <v>438</v>
      </c>
      <c r="E5" s="1" t="s">
        <v>439</v>
      </c>
      <c r="F5" s="1" t="s">
        <v>440</v>
      </c>
      <c r="G5" s="1" t="s">
        <v>441</v>
      </c>
      <c r="H5" s="1" t="s">
        <v>442</v>
      </c>
      <c r="I5" s="1" t="s">
        <v>443</v>
      </c>
      <c r="J5" s="1" t="s">
        <v>444</v>
      </c>
      <c r="K5" s="1" t="s">
        <v>445</v>
      </c>
      <c r="L5" s="1" t="s">
        <v>446</v>
      </c>
      <c r="M5" s="1" t="s">
        <v>447</v>
      </c>
      <c r="N5" s="1" t="s">
        <v>448</v>
      </c>
    </row>
    <row r="6" customHeight="1" spans="2:14">
      <c r="B6" s="1" t="s">
        <v>449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customHeight="1" spans="2:15">
      <c r="B7" s="1" t="s">
        <v>450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customHeight="1" spans="2:14">
      <c r="B8" s="1" t="s">
        <v>451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customHeight="1" spans="1:25">
      <c r="A9" s="5"/>
      <c r="B9" s="6" t="s">
        <v>452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453</v>
      </c>
    </row>
    <row r="2" spans="1:1">
      <c r="A2" t="s">
        <v>454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BIG SHARK TECHNOLOGY</cp:lastModifiedBy>
  <dcterms:created xsi:type="dcterms:W3CDTF">2024-06-12T10:41:00Z</dcterms:created>
  <dcterms:modified xsi:type="dcterms:W3CDTF">2024-10-29T13:56:17Z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