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G:\GPM\templates\"/>
    </mc:Choice>
  </mc:AlternateContent>
  <xr:revisionPtr revIDLastSave="0" documentId="13_ncr:1_{55098FC3-C191-45BB-ADC5-A901CA0A6B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rain Ext Cal" sheetId="2" r:id="rId1"/>
    <sheet name="Vis micro" sheetId="4" r:id="rId2"/>
    <sheet name="Form History" sheetId="3" r:id="rId3"/>
  </sheets>
  <definedNames>
    <definedName name="Vis">'Vis micro'!$B$16:$B$66</definedName>
    <definedName name="vis_Indication">'Vis micro'!$B$16:$C$66</definedName>
    <definedName name="_xlnm.Print_Area" localSheetId="0">'Strain Ext Cal'!$A$1:$L$58</definedName>
  </definedNames>
  <calcPr calcId="181029"/>
</workbook>
</file>

<file path=xl/calcChain.xml><?xml version="1.0" encoding="utf-8"?>
<calcChain xmlns="http://schemas.openxmlformats.org/spreadsheetml/2006/main">
  <c r="U48" i="2" l="1"/>
  <c r="W50" i="2"/>
  <c r="W51" i="2"/>
  <c r="W52" i="2"/>
  <c r="W53" i="2"/>
  <c r="W54" i="2"/>
  <c r="W55" i="2" s="1"/>
  <c r="W56" i="2" s="1"/>
  <c r="W49" i="2"/>
  <c r="W48" i="2"/>
  <c r="W47" i="2"/>
  <c r="W46" i="2"/>
  <c r="W45" i="2"/>
  <c r="W44" i="2"/>
  <c r="W43" i="2" s="1"/>
  <c r="W42" i="2" s="1"/>
  <c r="W41" i="2" s="1"/>
  <c r="W40" i="2" s="1"/>
  <c r="AG40" i="2"/>
  <c r="AF40" i="2"/>
  <c r="AD40" i="2"/>
  <c r="O43" i="2"/>
  <c r="O52" i="2"/>
  <c r="N47" i="2"/>
  <c r="AC56" i="2" l="1"/>
  <c r="AB56" i="2"/>
  <c r="AC55" i="2"/>
  <c r="AB55" i="2"/>
  <c r="AC54" i="2"/>
  <c r="AB54" i="2"/>
  <c r="V48" i="2"/>
  <c r="AE48" i="2" s="1"/>
  <c r="AD48" i="2"/>
  <c r="N66" i="4" l="1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R32" i="4"/>
  <c r="U32" i="4"/>
  <c r="R33" i="4"/>
  <c r="U33" i="4" s="1"/>
  <c r="R34" i="4"/>
  <c r="U34" i="4" s="1"/>
  <c r="R35" i="4"/>
  <c r="U35" i="4" s="1"/>
  <c r="R36" i="4"/>
  <c r="U36" i="4"/>
  <c r="R37" i="4"/>
  <c r="U37" i="4"/>
  <c r="R38" i="4"/>
  <c r="U38" i="4"/>
  <c r="R39" i="4"/>
  <c r="U39" i="4" s="1"/>
  <c r="R40" i="4"/>
  <c r="U40" i="4"/>
  <c r="R41" i="4"/>
  <c r="U41" i="4"/>
  <c r="R42" i="4"/>
  <c r="U42" i="4" s="1"/>
  <c r="R43" i="4"/>
  <c r="U43" i="4" s="1"/>
  <c r="R44" i="4"/>
  <c r="U44" i="4"/>
  <c r="R45" i="4"/>
  <c r="U45" i="4"/>
  <c r="R46" i="4"/>
  <c r="U46" i="4"/>
  <c r="R47" i="4"/>
  <c r="U47" i="4" s="1"/>
  <c r="R48" i="4"/>
  <c r="U48" i="4" s="1"/>
  <c r="R49" i="4"/>
  <c r="U49" i="4"/>
  <c r="R50" i="4"/>
  <c r="U50" i="4"/>
  <c r="R51" i="4"/>
  <c r="U51" i="4" s="1"/>
  <c r="R52" i="4"/>
  <c r="U52" i="4"/>
  <c r="R53" i="4"/>
  <c r="U53" i="4"/>
  <c r="R54" i="4"/>
  <c r="U54" i="4"/>
  <c r="R55" i="4"/>
  <c r="U55" i="4" s="1"/>
  <c r="R56" i="4"/>
  <c r="U56" i="4" s="1"/>
  <c r="R57" i="4"/>
  <c r="U57" i="4" s="1"/>
  <c r="R58" i="4"/>
  <c r="U58" i="4"/>
  <c r="R59" i="4"/>
  <c r="U59" i="4" s="1"/>
  <c r="R60" i="4"/>
  <c r="U60" i="4"/>
  <c r="R61" i="4"/>
  <c r="U61" i="4"/>
  <c r="R62" i="4"/>
  <c r="U62" i="4" s="1"/>
  <c r="R63" i="4"/>
  <c r="U63" i="4" s="1"/>
  <c r="R64" i="4"/>
  <c r="U64" i="4"/>
  <c r="R65" i="4"/>
  <c r="U65" i="4" s="1"/>
  <c r="R66" i="4"/>
  <c r="U66" i="4" s="1"/>
  <c r="R19" i="4"/>
  <c r="U19" i="4" s="1"/>
  <c r="R20" i="4"/>
  <c r="U20" i="4"/>
  <c r="R21" i="4"/>
  <c r="U21" i="4"/>
  <c r="R22" i="4"/>
  <c r="U22" i="4" s="1"/>
  <c r="R23" i="4"/>
  <c r="U23" i="4" s="1"/>
  <c r="R24" i="4"/>
  <c r="U24" i="4"/>
  <c r="R25" i="4"/>
  <c r="U25" i="4"/>
  <c r="R26" i="4"/>
  <c r="U26" i="4" s="1"/>
  <c r="R27" i="4"/>
  <c r="U27" i="4" s="1"/>
  <c r="R28" i="4"/>
  <c r="U28" i="4"/>
  <c r="R29" i="4"/>
  <c r="U29" i="4" s="1"/>
  <c r="R30" i="4"/>
  <c r="U30" i="4" s="1"/>
  <c r="R31" i="4"/>
  <c r="U31" i="4" s="1"/>
  <c r="R18" i="4"/>
  <c r="U18" i="4" s="1"/>
  <c r="U17" i="4"/>
  <c r="R17" i="4"/>
  <c r="B9" i="4" l="1"/>
  <c r="B14" i="4" s="1"/>
  <c r="H8" i="2" l="1"/>
  <c r="E18" i="4"/>
  <c r="B23" i="4"/>
  <c r="B25" i="4"/>
  <c r="B27" i="4"/>
  <c r="B29" i="4"/>
  <c r="B31" i="4"/>
  <c r="B33" i="4"/>
  <c r="B35" i="4"/>
  <c r="B37" i="4"/>
  <c r="B39" i="4"/>
  <c r="B41" i="4"/>
  <c r="B43" i="4"/>
  <c r="B45" i="4"/>
  <c r="B47" i="4"/>
  <c r="B49" i="4"/>
  <c r="B51" i="4"/>
  <c r="B53" i="4"/>
  <c r="B55" i="4"/>
  <c r="B57" i="4"/>
  <c r="B59" i="4"/>
  <c r="B61" i="4"/>
  <c r="C23" i="4"/>
  <c r="C25" i="4"/>
  <c r="C27" i="4"/>
  <c r="C29" i="4"/>
  <c r="C31" i="4"/>
  <c r="C33" i="4"/>
  <c r="C35" i="4"/>
  <c r="C37" i="4"/>
  <c r="C39" i="4"/>
  <c r="C41" i="4"/>
  <c r="C43" i="4"/>
  <c r="C45" i="4"/>
  <c r="C47" i="4"/>
  <c r="C49" i="4"/>
  <c r="C51" i="4"/>
  <c r="C53" i="4"/>
  <c r="C55" i="4"/>
  <c r="C57" i="4"/>
  <c r="C59" i="4"/>
  <c r="C61" i="4"/>
  <c r="C63" i="4"/>
  <c r="C65" i="4"/>
  <c r="E23" i="4"/>
  <c r="E25" i="4"/>
  <c r="E27" i="4"/>
  <c r="E29" i="4"/>
  <c r="E31" i="4"/>
  <c r="E33" i="4"/>
  <c r="E35" i="4"/>
  <c r="E37" i="4"/>
  <c r="E39" i="4"/>
  <c r="E41" i="4"/>
  <c r="E43" i="4"/>
  <c r="E45" i="4"/>
  <c r="E47" i="4"/>
  <c r="E49" i="4"/>
  <c r="E51" i="4"/>
  <c r="E53" i="4"/>
  <c r="E55" i="4"/>
  <c r="E57" i="4"/>
  <c r="E59" i="4"/>
  <c r="E61" i="4"/>
  <c r="E63" i="4"/>
  <c r="E65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65" i="4"/>
  <c r="B28" i="4"/>
  <c r="B36" i="4"/>
  <c r="B42" i="4"/>
  <c r="B46" i="4"/>
  <c r="B50" i="4"/>
  <c r="B54" i="4"/>
  <c r="B56" i="4"/>
  <c r="B60" i="4"/>
  <c r="B64" i="4"/>
  <c r="B66" i="4"/>
  <c r="B24" i="4"/>
  <c r="B26" i="4"/>
  <c r="B30" i="4"/>
  <c r="B32" i="4"/>
  <c r="B34" i="4"/>
  <c r="B38" i="4"/>
  <c r="B40" i="4"/>
  <c r="B44" i="4"/>
  <c r="B48" i="4"/>
  <c r="B52" i="4"/>
  <c r="B58" i="4"/>
  <c r="B62" i="4"/>
  <c r="C24" i="4"/>
  <c r="C26" i="4"/>
  <c r="C28" i="4"/>
  <c r="C30" i="4"/>
  <c r="C32" i="4"/>
  <c r="C34" i="4"/>
  <c r="C36" i="4"/>
  <c r="C38" i="4"/>
  <c r="C40" i="4"/>
  <c r="C42" i="4"/>
  <c r="C44" i="4"/>
  <c r="C46" i="4"/>
  <c r="C48" i="4"/>
  <c r="C50" i="4"/>
  <c r="C52" i="4"/>
  <c r="C54" i="4"/>
  <c r="C56" i="4"/>
  <c r="C58" i="4"/>
  <c r="C60" i="4"/>
  <c r="C62" i="4"/>
  <c r="C64" i="4"/>
  <c r="C66" i="4"/>
  <c r="F26" i="4"/>
  <c r="F28" i="4"/>
  <c r="F32" i="4"/>
  <c r="F36" i="4"/>
  <c r="F40" i="4"/>
  <c r="F44" i="4"/>
  <c r="F66" i="4"/>
  <c r="B63" i="4"/>
  <c r="E24" i="4"/>
  <c r="E26" i="4"/>
  <c r="E28" i="4"/>
  <c r="E30" i="4"/>
  <c r="E32" i="4"/>
  <c r="E34" i="4"/>
  <c r="E36" i="4"/>
  <c r="E38" i="4"/>
  <c r="E40" i="4"/>
  <c r="E42" i="4"/>
  <c r="E44" i="4"/>
  <c r="E46" i="4"/>
  <c r="E48" i="4"/>
  <c r="E50" i="4"/>
  <c r="E52" i="4"/>
  <c r="E54" i="4"/>
  <c r="E56" i="4"/>
  <c r="E58" i="4"/>
  <c r="E60" i="4"/>
  <c r="E62" i="4"/>
  <c r="E64" i="4"/>
  <c r="E66" i="4"/>
  <c r="F24" i="4"/>
  <c r="F30" i="4"/>
  <c r="F34" i="4"/>
  <c r="F38" i="4"/>
  <c r="F42" i="4"/>
  <c r="F46" i="4"/>
  <c r="B65" i="4"/>
  <c r="B19" i="4"/>
  <c r="C21" i="4"/>
  <c r="C16" i="4"/>
  <c r="C20" i="4"/>
  <c r="E21" i="4"/>
  <c r="B21" i="4"/>
  <c r="C22" i="4"/>
  <c r="B20" i="4"/>
  <c r="E17" i="4"/>
  <c r="B17" i="4"/>
  <c r="C17" i="4"/>
  <c r="B16" i="4"/>
  <c r="B18" i="4"/>
  <c r="E20" i="4"/>
  <c r="E19" i="4"/>
  <c r="C18" i="4"/>
  <c r="B22" i="4"/>
  <c r="C19" i="4"/>
  <c r="E16" i="4"/>
  <c r="E22" i="4"/>
  <c r="F16" i="4"/>
  <c r="U16" i="4"/>
  <c r="F17" i="4"/>
  <c r="F61" i="4"/>
  <c r="K13" i="2" l="1"/>
  <c r="K12" i="2"/>
  <c r="K11" i="2"/>
  <c r="K10" i="2"/>
  <c r="K9" i="2"/>
  <c r="K8" i="2"/>
  <c r="K7" i="2"/>
  <c r="H12" i="2"/>
  <c r="H10" i="2"/>
  <c r="H9" i="2"/>
  <c r="H7" i="2"/>
  <c r="H6" i="2"/>
  <c r="H15" i="2"/>
  <c r="H14" i="2"/>
  <c r="P48" i="2" s="1"/>
  <c r="C12" i="2"/>
  <c r="C11" i="2"/>
  <c r="C10" i="2"/>
  <c r="C9" i="2"/>
  <c r="C8" i="2"/>
  <c r="C7" i="2"/>
  <c r="H16" i="2"/>
  <c r="AJ48" i="2" l="1"/>
  <c r="AK48" i="2"/>
  <c r="AL48" i="2" s="1"/>
  <c r="C15" i="2"/>
  <c r="H13" i="2"/>
  <c r="D40" i="2" s="1"/>
  <c r="A48" i="2"/>
  <c r="O48" i="2"/>
  <c r="F18" i="4"/>
  <c r="F19" i="4"/>
  <c r="F20" i="4"/>
  <c r="F21" i="4"/>
  <c r="F22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2" i="4"/>
  <c r="F63" i="4"/>
  <c r="F64" i="4"/>
  <c r="N49" i="2" l="1"/>
  <c r="P47" i="2"/>
  <c r="O47" i="2" s="1"/>
  <c r="AM48" i="2"/>
  <c r="V55" i="2"/>
  <c r="AE55" i="2" s="1"/>
  <c r="U55" i="2"/>
  <c r="AD55" i="2" s="1"/>
  <c r="AG48" i="2"/>
  <c r="AF48" i="2"/>
  <c r="C48" i="2"/>
  <c r="B48" i="2" s="1"/>
  <c r="E56" i="2"/>
  <c r="G56" i="2" s="1"/>
  <c r="D56" i="2"/>
  <c r="F56" i="2" s="1"/>
  <c r="D47" i="2"/>
  <c r="E55" i="2"/>
  <c r="G55" i="2" s="1"/>
  <c r="D55" i="2"/>
  <c r="F55" i="2" s="1"/>
  <c r="E54" i="2"/>
  <c r="G54" i="2" s="1"/>
  <c r="I54" i="2" s="1"/>
  <c r="D54" i="2"/>
  <c r="F54" i="2" s="1"/>
  <c r="N46" i="2" l="1"/>
  <c r="P46" i="2" s="1"/>
  <c r="U47" i="2"/>
  <c r="AD47" i="2" s="1"/>
  <c r="A47" i="2"/>
  <c r="V47" i="2"/>
  <c r="AE47" i="2" s="1"/>
  <c r="AG47" i="2"/>
  <c r="C47" i="2"/>
  <c r="B47" i="2" s="1"/>
  <c r="AF47" i="2"/>
  <c r="AN48" i="2"/>
  <c r="V56" i="2"/>
  <c r="AE56" i="2" s="1"/>
  <c r="U56" i="2"/>
  <c r="AD56" i="2" s="1"/>
  <c r="V54" i="2"/>
  <c r="AE54" i="2" s="1"/>
  <c r="U54" i="2"/>
  <c r="AD54" i="2" s="1"/>
  <c r="V52" i="2"/>
  <c r="AE52" i="2" s="1"/>
  <c r="U52" i="2"/>
  <c r="AD52" i="2" s="1"/>
  <c r="U53" i="2"/>
  <c r="AD53" i="2" s="1"/>
  <c r="V53" i="2"/>
  <c r="AE53" i="2" s="1"/>
  <c r="V40" i="2"/>
  <c r="AE40" i="2" s="1"/>
  <c r="U40" i="2"/>
  <c r="J54" i="2"/>
  <c r="K54" i="2"/>
  <c r="H56" i="2"/>
  <c r="H55" i="2"/>
  <c r="I56" i="2"/>
  <c r="H54" i="2"/>
  <c r="I55" i="2"/>
  <c r="D52" i="2"/>
  <c r="F52" i="2" s="1"/>
  <c r="E40" i="2"/>
  <c r="G40" i="2" s="1"/>
  <c r="E52" i="2"/>
  <c r="G52" i="2" s="1"/>
  <c r="D41" i="2"/>
  <c r="F41" i="2" s="1"/>
  <c r="E44" i="2"/>
  <c r="G44" i="2" s="1"/>
  <c r="E48" i="2"/>
  <c r="G48" i="2" s="1"/>
  <c r="E41" i="2"/>
  <c r="G41" i="2" s="1"/>
  <c r="E45" i="2"/>
  <c r="G45" i="2" s="1"/>
  <c r="E49" i="2"/>
  <c r="G49" i="2" s="1"/>
  <c r="E53" i="2"/>
  <c r="G53" i="2" s="1"/>
  <c r="D45" i="2"/>
  <c r="F45" i="2" s="1"/>
  <c r="D49" i="2"/>
  <c r="F49" i="2" s="1"/>
  <c r="D42" i="2"/>
  <c r="F42" i="2" s="1"/>
  <c r="D46" i="2"/>
  <c r="F46" i="2" s="1"/>
  <c r="D50" i="2"/>
  <c r="F50" i="2" s="1"/>
  <c r="E42" i="2"/>
  <c r="G42" i="2" s="1"/>
  <c r="E50" i="2"/>
  <c r="G50" i="2" s="1"/>
  <c r="D43" i="2"/>
  <c r="F43" i="2" s="1"/>
  <c r="F47" i="2"/>
  <c r="D51" i="2"/>
  <c r="F51" i="2" s="1"/>
  <c r="D53" i="2"/>
  <c r="F53" i="2" s="1"/>
  <c r="E46" i="2"/>
  <c r="G46" i="2" s="1"/>
  <c r="E43" i="2"/>
  <c r="G43" i="2" s="1"/>
  <c r="E47" i="2"/>
  <c r="G47" i="2" s="1"/>
  <c r="E51" i="2"/>
  <c r="G51" i="2" s="1"/>
  <c r="F40" i="2"/>
  <c r="D44" i="2"/>
  <c r="F44" i="2" s="1"/>
  <c r="D48" i="2"/>
  <c r="F48" i="2" s="1"/>
  <c r="A46" i="2" l="1"/>
  <c r="O46" i="2"/>
  <c r="U46" i="2" s="1"/>
  <c r="AD46" i="2" s="1"/>
  <c r="AI47" i="2"/>
  <c r="AI49" i="2"/>
  <c r="K47" i="2"/>
  <c r="K55" i="2"/>
  <c r="L55" i="2" s="1"/>
  <c r="L54" i="2"/>
  <c r="J48" i="2"/>
  <c r="L48" i="2"/>
  <c r="H48" i="2"/>
  <c r="K48" i="2"/>
  <c r="I48" i="2"/>
  <c r="C46" i="2" l="1"/>
  <c r="B46" i="2" s="1"/>
  <c r="AF46" i="2"/>
  <c r="V46" i="2"/>
  <c r="AE46" i="2" s="1"/>
  <c r="AG46" i="2"/>
  <c r="N45" i="2"/>
  <c r="P45" i="2" s="1"/>
  <c r="O45" i="2" s="1"/>
  <c r="AJ49" i="2"/>
  <c r="AK49" i="2"/>
  <c r="AL49" i="2" s="1"/>
  <c r="AM49" i="2" s="1"/>
  <c r="AN49" i="2" s="1"/>
  <c r="AI50" i="2" s="1"/>
  <c r="AJ47" i="2"/>
  <c r="AK47" i="2"/>
  <c r="AL47" i="2" s="1"/>
  <c r="AM47" i="2" s="1"/>
  <c r="AN47" i="2" s="1"/>
  <c r="AI46" i="2" s="1"/>
  <c r="K56" i="2"/>
  <c r="J56" i="2"/>
  <c r="L56" i="2" s="1"/>
  <c r="F22" i="2"/>
  <c r="G22" i="2" s="1"/>
  <c r="H22" i="2" s="1"/>
  <c r="C22" i="2"/>
  <c r="D22" i="2" s="1"/>
  <c r="E22" i="2" s="1"/>
  <c r="AG45" i="2" l="1"/>
  <c r="N44" i="2"/>
  <c r="P44" i="2" s="1"/>
  <c r="A44" i="2" s="1"/>
  <c r="V45" i="2"/>
  <c r="AE45" i="2" s="1"/>
  <c r="U45" i="2"/>
  <c r="AD45" i="2" s="1"/>
  <c r="AF45" i="2"/>
  <c r="C45" i="2"/>
  <c r="B45" i="2" s="1"/>
  <c r="A45" i="2"/>
  <c r="AK46" i="2"/>
  <c r="AL46" i="2" s="1"/>
  <c r="AM46" i="2" s="1"/>
  <c r="AN46" i="2" s="1"/>
  <c r="AI45" i="2" s="1"/>
  <c r="AJ46" i="2"/>
  <c r="AJ50" i="2"/>
  <c r="AK50" i="2"/>
  <c r="AL50" i="2" s="1"/>
  <c r="AM50" i="2" s="1"/>
  <c r="AN50" i="2" s="1"/>
  <c r="AI51" i="2" s="1"/>
  <c r="AB51" i="2"/>
  <c r="AC45" i="2"/>
  <c r="AC43" i="2"/>
  <c r="AC40" i="2"/>
  <c r="AC53" i="2"/>
  <c r="AA53" i="2"/>
  <c r="AC44" i="2"/>
  <c r="AB45" i="2"/>
  <c r="AC52" i="2"/>
  <c r="AA52" i="2"/>
  <c r="AC46" i="2"/>
  <c r="AB52" i="2"/>
  <c r="Z52" i="2"/>
  <c r="AB50" i="2"/>
  <c r="AC48" i="2"/>
  <c r="AC51" i="2"/>
  <c r="AB49" i="2"/>
  <c r="AC50" i="2"/>
  <c r="AB46" i="2"/>
  <c r="AC49" i="2"/>
  <c r="AC47" i="2"/>
  <c r="AC42" i="2"/>
  <c r="AB40" i="2"/>
  <c r="AB44" i="2"/>
  <c r="AB53" i="2"/>
  <c r="Z53" i="2"/>
  <c r="AB41" i="2"/>
  <c r="AB43" i="2"/>
  <c r="AB48" i="2"/>
  <c r="AC41" i="2"/>
  <c r="AB42" i="2"/>
  <c r="AB47" i="2"/>
  <c r="J53" i="2"/>
  <c r="J47" i="2"/>
  <c r="J46" i="2"/>
  <c r="H52" i="2"/>
  <c r="K45" i="2" l="1"/>
  <c r="AK45" i="2"/>
  <c r="AL45" i="2" s="1"/>
  <c r="AM45" i="2" s="1"/>
  <c r="AN45" i="2" s="1"/>
  <c r="AI44" i="2" s="1"/>
  <c r="AJ45" i="2"/>
  <c r="AK51" i="2"/>
  <c r="AL51" i="2" s="1"/>
  <c r="AM51" i="2" s="1"/>
  <c r="AN51" i="2" s="1"/>
  <c r="AI52" i="2" s="1"/>
  <c r="AJ51" i="2"/>
  <c r="O44" i="2"/>
  <c r="N43" i="2" s="1"/>
  <c r="K46" i="2"/>
  <c r="L46" i="2" s="1"/>
  <c r="I46" i="2"/>
  <c r="H46" i="2"/>
  <c r="I52" i="2"/>
  <c r="I53" i="2"/>
  <c r="H47" i="2"/>
  <c r="J52" i="2"/>
  <c r="L47" i="2"/>
  <c r="K52" i="2"/>
  <c r="I47" i="2"/>
  <c r="H53" i="2"/>
  <c r="K53" i="2"/>
  <c r="L53" i="2" s="1"/>
  <c r="I44" i="2"/>
  <c r="H44" i="2"/>
  <c r="K40" i="2"/>
  <c r="H40" i="2"/>
  <c r="J40" i="2"/>
  <c r="I40" i="2"/>
  <c r="H45" i="2"/>
  <c r="J45" i="2"/>
  <c r="L45" i="2" s="1"/>
  <c r="I45" i="2"/>
  <c r="AJ52" i="2" l="1"/>
  <c r="AK52" i="2"/>
  <c r="AL52" i="2" s="1"/>
  <c r="AM52" i="2" s="1"/>
  <c r="AN52" i="2" s="1"/>
  <c r="AI53" i="2" s="1"/>
  <c r="AJ44" i="2"/>
  <c r="AK44" i="2"/>
  <c r="AL44" i="2" s="1"/>
  <c r="AM44" i="2" s="1"/>
  <c r="AN44" i="2" s="1"/>
  <c r="AI43" i="2" s="1"/>
  <c r="U44" i="2"/>
  <c r="AD44" i="2" s="1"/>
  <c r="V44" i="2"/>
  <c r="AE44" i="2" s="1"/>
  <c r="C44" i="2"/>
  <c r="B44" i="2" s="1"/>
  <c r="AG44" i="2"/>
  <c r="AF44" i="2"/>
  <c r="L52" i="2"/>
  <c r="L40" i="2"/>
  <c r="AK53" i="2" l="1"/>
  <c r="AL53" i="2" s="1"/>
  <c r="AM53" i="2" s="1"/>
  <c r="AN53" i="2" s="1"/>
  <c r="AI54" i="2" s="1"/>
  <c r="AJ53" i="2"/>
  <c r="AJ43" i="2"/>
  <c r="AK43" i="2"/>
  <c r="AL43" i="2" s="1"/>
  <c r="AM43" i="2" s="1"/>
  <c r="AN43" i="2" s="1"/>
  <c r="AI42" i="2" s="1"/>
  <c r="J44" i="2"/>
  <c r="K44" i="2"/>
  <c r="P43" i="2"/>
  <c r="A43" i="2" l="1"/>
  <c r="AK42" i="2"/>
  <c r="AL42" i="2" s="1"/>
  <c r="AM42" i="2" s="1"/>
  <c r="AN42" i="2" s="1"/>
  <c r="AI41" i="2" s="1"/>
  <c r="AJ42" i="2"/>
  <c r="AJ54" i="2"/>
  <c r="AK54" i="2"/>
  <c r="AL54" i="2" s="1"/>
  <c r="AM54" i="2" s="1"/>
  <c r="AN54" i="2" s="1"/>
  <c r="AI55" i="2" s="1"/>
  <c r="L44" i="2"/>
  <c r="I43" i="2"/>
  <c r="H43" i="2"/>
  <c r="N42" i="2"/>
  <c r="O42" i="2" s="1"/>
  <c r="AJ55" i="2" l="1"/>
  <c r="AK55" i="2"/>
  <c r="AL55" i="2" s="1"/>
  <c r="AM55" i="2" s="1"/>
  <c r="AN55" i="2" s="1"/>
  <c r="AI56" i="2" s="1"/>
  <c r="AK41" i="2"/>
  <c r="AL41" i="2" s="1"/>
  <c r="AM41" i="2" s="1"/>
  <c r="AN41" i="2" s="1"/>
  <c r="AI40" i="2" s="1"/>
  <c r="AJ41" i="2"/>
  <c r="AG43" i="2"/>
  <c r="U43" i="2"/>
  <c r="AD43" i="2" s="1"/>
  <c r="C43" i="2"/>
  <c r="B43" i="2" s="1"/>
  <c r="V43" i="2"/>
  <c r="AE43" i="2" s="1"/>
  <c r="AF43" i="2"/>
  <c r="AJ40" i="2" l="1"/>
  <c r="AK40" i="2"/>
  <c r="AL40" i="2" s="1"/>
  <c r="AM40" i="2" s="1"/>
  <c r="AN40" i="2" s="1"/>
  <c r="AK56" i="2"/>
  <c r="AL56" i="2" s="1"/>
  <c r="AM56" i="2" s="1"/>
  <c r="AN56" i="2" s="1"/>
  <c r="AI57" i="2" s="1"/>
  <c r="AJ56" i="2"/>
  <c r="K43" i="2"/>
  <c r="J43" i="2"/>
  <c r="P42" i="2"/>
  <c r="A42" i="2" l="1"/>
  <c r="N41" i="2"/>
  <c r="O41" i="2" s="1"/>
  <c r="H42" i="2"/>
  <c r="I42" i="2"/>
  <c r="L43" i="2"/>
  <c r="U42" i="2" l="1"/>
  <c r="AD42" i="2" s="1"/>
  <c r="V42" i="2"/>
  <c r="AE42" i="2" s="1"/>
  <c r="C42" i="2"/>
  <c r="B42" i="2" s="1"/>
  <c r="AF42" i="2"/>
  <c r="AG42" i="2"/>
  <c r="P41" i="2" l="1"/>
  <c r="J42" i="2"/>
  <c r="K42" i="2"/>
  <c r="AF41" i="2" l="1"/>
  <c r="N40" i="2"/>
  <c r="O40" i="2" s="1"/>
  <c r="L42" i="2"/>
  <c r="AG41" i="2"/>
  <c r="A41" i="2"/>
  <c r="U41" i="2"/>
  <c r="AD41" i="2" s="1"/>
  <c r="V41" i="2"/>
  <c r="AE41" i="2" s="1"/>
  <c r="C41" i="2"/>
  <c r="B41" i="2" s="1"/>
  <c r="K41" i="2"/>
  <c r="J41" i="2"/>
  <c r="L41" i="2" s="1"/>
  <c r="I41" i="2"/>
  <c r="H41" i="2"/>
  <c r="P40" i="2" l="1"/>
  <c r="A40" i="2"/>
  <c r="C40" i="2"/>
  <c r="B40" i="2" s="1"/>
  <c r="J55" i="2" l="1"/>
  <c r="P49" i="2"/>
  <c r="A49" i="2" s="1"/>
  <c r="I49" i="2" l="1"/>
  <c r="H49" i="2"/>
  <c r="O49" i="2"/>
  <c r="N50" i="2" s="1"/>
  <c r="P50" i="2" s="1"/>
  <c r="O50" i="2" l="1"/>
  <c r="A50" i="2"/>
  <c r="C49" i="2"/>
  <c r="B49" i="2" s="1"/>
  <c r="V49" i="2"/>
  <c r="AE49" i="2" s="1"/>
  <c r="U49" i="2"/>
  <c r="AG49" i="2"/>
  <c r="AF49" i="2"/>
  <c r="V50" i="2" l="1"/>
  <c r="AE50" i="2" s="1"/>
  <c r="N51" i="2"/>
  <c r="P51" i="2" s="1"/>
  <c r="AG50" i="2"/>
  <c r="C50" i="2"/>
  <c r="B50" i="2" s="1"/>
  <c r="J50" i="2" s="1"/>
  <c r="U50" i="2"/>
  <c r="AD50" i="2" s="1"/>
  <c r="AF50" i="2"/>
  <c r="AD49" i="2"/>
  <c r="I50" i="2"/>
  <c r="H50" i="2"/>
  <c r="K49" i="2"/>
  <c r="J49" i="2"/>
  <c r="A51" i="2" l="1"/>
  <c r="I51" i="2" s="1"/>
  <c r="O51" i="2"/>
  <c r="N52" i="2" s="1"/>
  <c r="K50" i="2"/>
  <c r="L50" i="2" s="1"/>
  <c r="H51" i="2"/>
  <c r="V51" i="2"/>
  <c r="AE51" i="2" s="1"/>
  <c r="U51" i="2"/>
  <c r="L49" i="2"/>
  <c r="P52" i="2" l="1"/>
  <c r="C52" i="2" s="1"/>
  <c r="B52" i="2" s="1"/>
  <c r="AF51" i="2"/>
  <c r="C51" i="2"/>
  <c r="B51" i="2" s="1"/>
  <c r="AG51" i="2"/>
  <c r="AD51" i="2"/>
  <c r="V38" i="2"/>
  <c r="Y38" i="2" s="1"/>
  <c r="J51" i="2"/>
  <c r="K51" i="2"/>
  <c r="A52" i="2" l="1"/>
  <c r="AF52" i="2"/>
  <c r="AG52" i="2"/>
  <c r="N53" i="2"/>
  <c r="O53" i="2" s="1"/>
  <c r="Y55" i="2"/>
  <c r="AA55" i="2" s="1"/>
  <c r="X46" i="2"/>
  <c r="Z46" i="2" s="1"/>
  <c r="Y45" i="2"/>
  <c r="AA45" i="2" s="1"/>
  <c r="X52" i="2"/>
  <c r="X51" i="2"/>
  <c r="Z51" i="2" s="1"/>
  <c r="X48" i="2"/>
  <c r="Z48" i="2" s="1"/>
  <c r="Y54" i="2"/>
  <c r="AA54" i="2" s="1"/>
  <c r="X53" i="2"/>
  <c r="X49" i="2"/>
  <c r="Z49" i="2" s="1"/>
  <c r="Y46" i="2"/>
  <c r="AA46" i="2" s="1"/>
  <c r="Y52" i="2"/>
  <c r="Y51" i="2"/>
  <c r="AA51" i="2" s="1"/>
  <c r="Y53" i="2"/>
  <c r="Y43" i="2"/>
  <c r="AA43" i="2" s="1"/>
  <c r="Y49" i="2"/>
  <c r="AA49" i="2" s="1"/>
  <c r="X56" i="2"/>
  <c r="Z56" i="2" s="1"/>
  <c r="X47" i="2"/>
  <c r="Z47" i="2" s="1"/>
  <c r="X42" i="2"/>
  <c r="Z42" i="2" s="1"/>
  <c r="Y41" i="2"/>
  <c r="AA41" i="2" s="1"/>
  <c r="X43" i="2"/>
  <c r="Z43" i="2" s="1"/>
  <c r="X41" i="2"/>
  <c r="Z41" i="2" s="1"/>
  <c r="X44" i="2"/>
  <c r="Z44" i="2" s="1"/>
  <c r="Y50" i="2"/>
  <c r="AA50" i="2" s="1"/>
  <c r="Y56" i="2"/>
  <c r="AA56" i="2" s="1"/>
  <c r="X40" i="2"/>
  <c r="Z40" i="2" s="1"/>
  <c r="X45" i="2"/>
  <c r="Z45" i="2" s="1"/>
  <c r="X54" i="2"/>
  <c r="Z54" i="2" s="1"/>
  <c r="Y42" i="2"/>
  <c r="AA42" i="2" s="1"/>
  <c r="Y44" i="2"/>
  <c r="AA44" i="2" s="1"/>
  <c r="Y48" i="2"/>
  <c r="AA48" i="2" s="1"/>
  <c r="Y47" i="2"/>
  <c r="AA47" i="2" s="1"/>
  <c r="Y40" i="2"/>
  <c r="AA40" i="2" s="1"/>
  <c r="X50" i="2"/>
  <c r="Z50" i="2" s="1"/>
  <c r="X55" i="2"/>
  <c r="Z55" i="2" s="1"/>
  <c r="L51" i="2"/>
  <c r="P53" i="2" l="1"/>
  <c r="A53" i="2"/>
  <c r="N54" i="2"/>
  <c r="O54" i="2" s="1"/>
  <c r="P54" i="2" l="1"/>
  <c r="AF53" i="2"/>
  <c r="AG53" i="2"/>
  <c r="C53" i="2"/>
  <c r="B53" i="2" s="1"/>
  <c r="A54" i="2"/>
  <c r="AF54" i="2"/>
  <c r="AG54" i="2" l="1"/>
  <c r="N55" i="2"/>
  <c r="O55" i="2" s="1"/>
  <c r="C54" i="2"/>
  <c r="B54" i="2" s="1"/>
  <c r="P55" i="2" l="1"/>
  <c r="A55" i="2" s="1"/>
  <c r="N56" i="2" l="1"/>
  <c r="O56" i="2" s="1"/>
  <c r="C55" i="2" l="1"/>
  <c r="B55" i="2" s="1"/>
  <c r="AF55" i="2"/>
  <c r="AG55" i="2"/>
  <c r="P56" i="2"/>
  <c r="A56" i="2" s="1"/>
  <c r="C56" i="2" l="1"/>
  <c r="B56" i="2" s="1"/>
  <c r="AF56" i="2"/>
  <c r="AG56" i="2"/>
</calcChain>
</file>

<file path=xl/sharedStrings.xml><?xml version="1.0" encoding="utf-8"?>
<sst xmlns="http://schemas.openxmlformats.org/spreadsheetml/2006/main" count="142" uniqueCount="96">
  <si>
    <t>STRAIN EXTENSOMETER CALIBRATION</t>
  </si>
  <si>
    <t>Actual Voltage</t>
  </si>
  <si>
    <t>Strain Mag:</t>
  </si>
  <si>
    <t>Gauge Length:</t>
  </si>
  <si>
    <t>DVM:</t>
  </si>
  <si>
    <t>Operator:</t>
  </si>
  <si>
    <t>Test Station:</t>
  </si>
  <si>
    <t>Relative Error (%)</t>
  </si>
  <si>
    <t>Run 1</t>
  </si>
  <si>
    <t>Run 2</t>
  </si>
  <si>
    <t>Red highlighted cells are out of spec. data</t>
  </si>
  <si>
    <t>Type 1 Extensometer System</t>
  </si>
  <si>
    <t>Date</t>
  </si>
  <si>
    <t>Revision History</t>
  </si>
  <si>
    <t>Author</t>
  </si>
  <si>
    <t>wtg</t>
  </si>
  <si>
    <t>Ext. Asset No.:</t>
  </si>
  <si>
    <t>PreAmp:</t>
  </si>
  <si>
    <t>PostAmp:</t>
  </si>
  <si>
    <t>Total Gain:</t>
  </si>
  <si>
    <t>DeltaK:</t>
  </si>
  <si>
    <t>Excitation:</t>
  </si>
  <si>
    <t>Comments:</t>
  </si>
  <si>
    <t>Calibration Reference Values</t>
  </si>
  <si>
    <t>new corporate form created</t>
  </si>
  <si>
    <t>ASTM E-83, Class B-2 Calibration</t>
  </si>
  <si>
    <t>Translator:</t>
  </si>
  <si>
    <t xml:space="preserve"> Lab Temp (°):</t>
  </si>
  <si>
    <t>Excitation Freq.:</t>
  </si>
  <si>
    <t>Phase (deg):</t>
  </si>
  <si>
    <t>Calibration Date:</t>
  </si>
  <si>
    <t>DUC Card:</t>
  </si>
  <si>
    <t>Calibration Due Date:</t>
  </si>
  <si>
    <t>Unit System(in / mm):</t>
  </si>
  <si>
    <t>Translator Resolution:</t>
  </si>
  <si>
    <t>Calibration Type:</t>
  </si>
  <si>
    <t>Gauge Pin:</t>
  </si>
  <si>
    <t>Translator Cal. Due Date:</t>
  </si>
  <si>
    <t>Humidity (%RH):</t>
  </si>
  <si>
    <t>Calibration Approval:</t>
  </si>
  <si>
    <t>Min. Strain Range (%):</t>
  </si>
  <si>
    <t>FS Measuring Range (+/-%e):</t>
  </si>
  <si>
    <t>Measurement Uncertainty Statement</t>
  </si>
  <si>
    <t>Gauge Verification:</t>
  </si>
  <si>
    <t>Error (%)</t>
  </si>
  <si>
    <t>Gauge R1</t>
  </si>
  <si>
    <t>Gauge R2</t>
  </si>
  <si>
    <t>Final update</t>
  </si>
  <si>
    <t>added gauge zero verification</t>
  </si>
  <si>
    <t>Actual GL</t>
  </si>
  <si>
    <t>adj limit of error to 0.5% indicator</t>
  </si>
  <si>
    <t>opend for 0-10v calibration</t>
  </si>
  <si>
    <t>fix B40 and B44 contents</t>
  </si>
  <si>
    <t>Target Strain (%)</t>
  </si>
  <si>
    <t>Fixed Error (unit/unit)</t>
  </si>
  <si>
    <t>Extension Reading (Cal units)</t>
  </si>
  <si>
    <t>Target Extension (Calibration units)</t>
  </si>
  <si>
    <t>Actual Extension (Calibration units)</t>
  </si>
  <si>
    <t>Repeatability (%)</t>
  </si>
  <si>
    <t>reformat to adhere to E-83 presentation format</t>
  </si>
  <si>
    <t>PGO</t>
  </si>
  <si>
    <t>NA</t>
  </si>
  <si>
    <t>mm</t>
  </si>
  <si>
    <t># 5</t>
  </si>
  <si>
    <t>as found</t>
  </si>
  <si>
    <t>vis</t>
  </si>
  <si>
    <t>Corrigé V</t>
  </si>
  <si>
    <t>Indication mm</t>
  </si>
  <si>
    <t>Corrigé (mm)</t>
  </si>
  <si>
    <t>Run2 (%)</t>
  </si>
  <si>
    <t>Run1 (%)</t>
  </si>
  <si>
    <t>Full Scale Min/Max (%)</t>
  </si>
  <si>
    <t>Strain Step (%)</t>
  </si>
  <si>
    <t>Screw Translator Position</t>
  </si>
  <si>
    <t>Relevé (mm)</t>
  </si>
  <si>
    <t>Test Range (%):</t>
  </si>
  <si>
    <t>def visé</t>
  </si>
  <si>
    <t>equivalent mm</t>
  </si>
  <si>
    <t>def equivalent</t>
  </si>
  <si>
    <t>valeur la plus proche mm</t>
  </si>
  <si>
    <t>dep avec décalage vis</t>
  </si>
  <si>
    <t>translation mm</t>
  </si>
  <si>
    <t>Strain Target</t>
  </si>
  <si>
    <t>FOR INFORMATION ONLY</t>
  </si>
  <si>
    <t>Thermal Expansion Max (%):</t>
  </si>
  <si>
    <t>Min. Cal +/- (%):</t>
  </si>
  <si>
    <r>
      <t>Shunt Cal (</t>
    </r>
    <r>
      <rPr>
        <sz val="10"/>
        <rFont val="Calibri"/>
        <family val="2"/>
      </rPr>
      <t>Ω</t>
    </r>
    <r>
      <rPr>
        <sz val="10"/>
        <rFont val="Palatino Linotype"/>
        <family val="1"/>
      </rPr>
      <t>):</t>
    </r>
  </si>
  <si>
    <t>Fine Zero (V):</t>
  </si>
  <si>
    <t># Extensometer</t>
  </si>
  <si>
    <t>N/A</t>
  </si>
  <si>
    <t>Run1</t>
  </si>
  <si>
    <t>Run2</t>
  </si>
  <si>
    <t>New Gain :</t>
  </si>
  <si>
    <t>Delta K:</t>
  </si>
  <si>
    <t>Optimal Gain:</t>
  </si>
  <si>
    <t>Zero Position on Translator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</si>
</sst>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"/>
    <numFmt numFmtId="165" formatCode="0.0000"/>
    <numFmt numFmtId="166" formatCode="0.00000"/>
    <numFmt numFmtId="167" formatCode="m/d/yy;@"/>
    <numFmt numFmtId="168" formatCode="[$-409]d\-mmm\-yyyy;@"/>
    <numFmt numFmtId="169" formatCode="0\°\C"/>
    <numFmt numFmtId="170" formatCode="[$-40C]d\-mmm\-yy;@"/>
    <numFmt numFmtId="171" formatCode="0.000000"/>
    <numFmt numFmtId="172" formatCode="0.0"/>
  </numFmts>
  <fonts count="16" x14ac:knownFonts="1">
    <font>
      <sz val="10"/>
      <name val="Arial"/>
    </font>
    <font>
      <sz val="10"/>
      <name val="Arial"/>
      <family val="2"/>
    </font>
    <font>
      <sz val="10"/>
      <name val="Palatino Linotype"/>
      <family val="1"/>
    </font>
    <font>
      <b/>
      <u/>
      <sz val="10"/>
      <name val="Palatino Linotype"/>
      <family val="1"/>
    </font>
    <font>
      <sz val="9"/>
      <name val="Palatino Linotype"/>
      <family val="1"/>
    </font>
    <font>
      <b/>
      <sz val="10"/>
      <name val="Palatino Linotype"/>
      <family val="1"/>
    </font>
    <font>
      <b/>
      <sz val="9"/>
      <name val="Palatino Linotype"/>
      <family val="1"/>
    </font>
    <font>
      <b/>
      <sz val="10"/>
      <color rgb="FFFF0000"/>
      <name val="Palatino Linotype"/>
      <family val="1"/>
    </font>
    <font>
      <sz val="8"/>
      <name val="Palatino Linotype"/>
      <family val="1"/>
    </font>
    <font>
      <sz val="10"/>
      <color indexed="9"/>
      <name val="Palatino Linotype"/>
      <family val="1"/>
    </font>
    <font>
      <sz val="10"/>
      <color indexed="10"/>
      <name val="Palatino Linotype"/>
      <family val="1"/>
    </font>
    <font>
      <sz val="12"/>
      <name val="Palatino Linotype"/>
      <family val="1"/>
    </font>
    <font>
      <sz val="8"/>
      <color rgb="FFFF0000"/>
      <name val="Palatino Linotype"/>
      <family val="1"/>
    </font>
    <font>
      <sz val="11"/>
      <color theme="4"/>
      <name val="Calibri"/>
      <family val="2"/>
      <scheme val="minor"/>
    </font>
    <font>
      <sz val="10"/>
      <name val="Calibri"/>
      <family val="2"/>
    </font>
    <font>
      <sz val="10"/>
      <color theme="0"/>
      <name val="Palatino Linotyp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5B82"/>
      </left>
      <right style="thin">
        <color rgb="FF005B82"/>
      </right>
      <top style="thin">
        <color rgb="FF005B82"/>
      </top>
      <bottom style="thin">
        <color rgb="FF005B82"/>
      </bottom>
      <diagonal/>
    </border>
    <border>
      <left style="thin">
        <color rgb="FF005B82"/>
      </left>
      <right style="thin">
        <color rgb="FF005B82"/>
      </right>
      <top style="thin">
        <color rgb="FF005B82"/>
      </top>
      <bottom/>
      <diagonal/>
    </border>
    <border>
      <left style="thin">
        <color rgb="FF005B82"/>
      </left>
      <right style="thin">
        <color rgb="FF005B82"/>
      </right>
      <top/>
      <bottom style="thin">
        <color rgb="FF005B82"/>
      </bottom>
      <diagonal/>
    </border>
    <border>
      <left style="medium">
        <color rgb="FF005B82"/>
      </left>
      <right/>
      <top style="medium">
        <color rgb="FF005B82"/>
      </top>
      <bottom style="medium">
        <color rgb="FF005B82"/>
      </bottom>
      <diagonal/>
    </border>
    <border>
      <left/>
      <right style="medium">
        <color rgb="FF005B82"/>
      </right>
      <top style="medium">
        <color rgb="FF005B82"/>
      </top>
      <bottom style="medium">
        <color rgb="FF005B82"/>
      </bottom>
      <diagonal/>
    </border>
    <border>
      <left style="medium">
        <color rgb="FF005B82"/>
      </left>
      <right/>
      <top style="medium">
        <color rgb="FF005B82"/>
      </top>
      <bottom/>
      <diagonal/>
    </border>
    <border>
      <left/>
      <right style="medium">
        <color rgb="FF005B82"/>
      </right>
      <top style="medium">
        <color rgb="FF005B82"/>
      </top>
      <bottom/>
      <diagonal/>
    </border>
    <border>
      <left/>
      <right/>
      <top style="medium">
        <color rgb="FF005B82"/>
      </top>
      <bottom/>
      <diagonal/>
    </border>
    <border>
      <left style="medium">
        <color rgb="FF005B82"/>
      </left>
      <right/>
      <top/>
      <bottom style="medium">
        <color rgb="FF005B82"/>
      </bottom>
      <diagonal/>
    </border>
    <border>
      <left/>
      <right/>
      <top/>
      <bottom style="medium">
        <color rgb="FF005B82"/>
      </bottom>
      <diagonal/>
    </border>
    <border>
      <left/>
      <right style="medium">
        <color rgb="FF005B82"/>
      </right>
      <top/>
      <bottom style="medium">
        <color rgb="FF005B82"/>
      </bottom>
      <diagonal/>
    </border>
    <border>
      <left style="medium">
        <color rgb="FF005B82"/>
      </left>
      <right style="medium">
        <color rgb="FF005B82"/>
      </right>
      <top style="medium">
        <color rgb="FF005B82"/>
      </top>
      <bottom style="medium">
        <color rgb="FF005B82"/>
      </bottom>
      <diagonal/>
    </border>
    <border>
      <left/>
      <right style="thin">
        <color rgb="FF005B82"/>
      </right>
      <top style="thin">
        <color rgb="FF005B82"/>
      </top>
      <bottom style="thin">
        <color rgb="FF005B82"/>
      </bottom>
      <diagonal/>
    </border>
    <border>
      <left/>
      <right style="thin">
        <color rgb="FF005B82"/>
      </right>
      <top/>
      <bottom style="thin">
        <color rgb="FF005B82"/>
      </bottom>
      <diagonal/>
    </border>
    <border>
      <left style="thin">
        <color rgb="FF005B82"/>
      </left>
      <right/>
      <top style="thin">
        <color rgb="FF005B82"/>
      </top>
      <bottom style="thin">
        <color rgb="FF005B82"/>
      </bottom>
      <diagonal/>
    </border>
    <border>
      <left style="thin">
        <color rgb="FF005B82"/>
      </left>
      <right/>
      <top style="thin">
        <color rgb="FF005B8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5B82"/>
      </left>
      <right style="thin">
        <color indexed="64"/>
      </right>
      <top style="thin">
        <color rgb="FF005B82"/>
      </top>
      <bottom style="thin">
        <color rgb="FF005B8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5B82"/>
      </left>
      <right style="thin">
        <color rgb="FF005B82"/>
      </right>
      <top style="thin">
        <color rgb="FF005B82"/>
      </top>
      <bottom style="thin">
        <color indexed="64"/>
      </bottom>
      <diagonal/>
    </border>
    <border>
      <left style="thin">
        <color rgb="FF005B82"/>
      </left>
      <right style="thin">
        <color indexed="64"/>
      </right>
      <top style="thin">
        <color rgb="FF005B82"/>
      </top>
      <bottom style="thin">
        <color indexed="64"/>
      </bottom>
      <diagonal/>
    </border>
    <border>
      <left style="thin">
        <color rgb="FF005B82"/>
      </left>
      <right style="thin">
        <color indexed="64"/>
      </right>
      <top/>
      <bottom style="thin">
        <color rgb="FF005B82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167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1" xfId="0" applyBorder="1" applyAlignment="1" applyProtection="1">
      <alignment horizontal="center"/>
    </xf>
    <xf numFmtId="0" fontId="0" fillId="0" borderId="1" xfId="0" applyBorder="1" applyProtection="1"/>
    <xf numFmtId="167" fontId="0" fillId="0" borderId="1" xfId="0" applyNumberFormat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center"/>
    </xf>
    <xf numFmtId="167" fontId="1" fillId="0" borderId="1" xfId="0" applyNumberFormat="1" applyFont="1" applyBorder="1" applyAlignment="1" applyProtection="1">
      <alignment horizontal="center"/>
    </xf>
    <xf numFmtId="0" fontId="0" fillId="0" borderId="1" xfId="0" applyBorder="1" applyAlignment="1" applyProtection="1">
      <alignment horizontal="left"/>
    </xf>
    <xf numFmtId="0" fontId="0" fillId="0" borderId="2" xfId="0" applyBorder="1" applyAlignment="1">
      <alignment horizontal="left" vertical="top"/>
    </xf>
    <xf numFmtId="0" fontId="1" fillId="0" borderId="1" xfId="0" applyFont="1" applyBorder="1" applyAlignment="1" applyProtection="1">
      <alignment horizontal="left" vertical="top"/>
    </xf>
    <xf numFmtId="0" fontId="2" fillId="0" borderId="0" xfId="0" applyFont="1" applyProtection="1">
      <protection hidden="1"/>
    </xf>
    <xf numFmtId="0" fontId="3" fillId="0" borderId="0" xfId="0" applyFont="1" applyAlignment="1" applyProtection="1">
      <alignment horizontal="centerContinuous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Continuous"/>
      <protection hidden="1"/>
    </xf>
    <xf numFmtId="0" fontId="4" fillId="0" borderId="0" xfId="0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Alignment="1" applyProtection="1">
      <protection hidden="1"/>
    </xf>
    <xf numFmtId="0" fontId="6" fillId="0" borderId="0" xfId="0" applyFont="1" applyAlignment="1" applyProtection="1">
      <alignment horizontal="right"/>
      <protection hidden="1"/>
    </xf>
    <xf numFmtId="0" fontId="2" fillId="0" borderId="0" xfId="0" applyFont="1" applyAlignment="1" applyProtection="1">
      <alignment horizontal="right"/>
      <protection hidden="1"/>
    </xf>
    <xf numFmtId="0" fontId="2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165" fontId="2" fillId="0" borderId="0" xfId="0" applyNumberFormat="1" applyFont="1" applyFill="1" applyBorder="1" applyAlignment="1" applyProtection="1">
      <alignment horizontal="left"/>
      <protection hidden="1"/>
    </xf>
    <xf numFmtId="0" fontId="2" fillId="0" borderId="0" xfId="0" applyFont="1" applyFill="1" applyBorder="1" applyAlignment="1" applyProtection="1">
      <alignment horizontal="right" vertical="center"/>
      <protection hidden="1"/>
    </xf>
    <xf numFmtId="0" fontId="8" fillId="0" borderId="0" xfId="0" applyFont="1" applyAlignment="1" applyProtection="1">
      <alignment horizontal="right"/>
      <protection hidden="1"/>
    </xf>
    <xf numFmtId="0" fontId="2" fillId="0" borderId="0" xfId="0" applyFont="1" applyBorder="1" applyAlignment="1" applyProtection="1">
      <alignment vertical="top"/>
      <protection hidden="1"/>
    </xf>
    <xf numFmtId="2" fontId="2" fillId="0" borderId="0" xfId="0" applyNumberFormat="1" applyFont="1" applyProtection="1">
      <protection hidden="1"/>
    </xf>
    <xf numFmtId="0" fontId="9" fillId="0" borderId="0" xfId="0" applyFont="1" applyProtection="1">
      <protection hidden="1"/>
    </xf>
    <xf numFmtId="0" fontId="2" fillId="0" borderId="0" xfId="0" applyFont="1" applyFill="1" applyBorder="1" applyProtection="1">
      <protection hidden="1"/>
    </xf>
    <xf numFmtId="2" fontId="2" fillId="0" borderId="0" xfId="0" applyNumberFormat="1" applyFont="1" applyFill="1" applyBorder="1" applyProtection="1">
      <protection hidden="1"/>
    </xf>
    <xf numFmtId="0" fontId="10" fillId="0" borderId="0" xfId="0" applyFont="1" applyAlignment="1" applyProtection="1"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6" fillId="0" borderId="0" xfId="0" applyFont="1" applyFill="1" applyBorder="1" applyAlignment="1" applyProtection="1">
      <alignment horizontal="right" vertical="center"/>
      <protection hidden="1"/>
    </xf>
    <xf numFmtId="0" fontId="5" fillId="0" borderId="0" xfId="0" applyFont="1" applyBorder="1" applyAlignment="1" applyProtection="1">
      <alignment horizontal="right"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wrapText="1"/>
      <protection hidden="1"/>
    </xf>
    <xf numFmtId="0" fontId="4" fillId="0" borderId="0" xfId="0" applyFont="1" applyAlignment="1" applyProtection="1">
      <alignment horizontal="center"/>
      <protection hidden="1"/>
    </xf>
    <xf numFmtId="164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2" borderId="3" xfId="0" applyNumberFormat="1" applyFont="1" applyFill="1" applyBorder="1" applyAlignment="1" applyProtection="1">
      <alignment horizontal="center" vertical="center"/>
      <protection locked="0"/>
    </xf>
    <xf numFmtId="165" fontId="2" fillId="2" borderId="3" xfId="0" applyNumberFormat="1" applyFont="1" applyFill="1" applyBorder="1" applyAlignment="1" applyProtection="1">
      <alignment horizontal="center" vertical="center"/>
      <protection locked="0"/>
    </xf>
    <xf numFmtId="164" fontId="2" fillId="2" borderId="3" xfId="0" applyNumberFormat="1" applyFont="1" applyFill="1" applyBorder="1" applyAlignment="1" applyProtection="1">
      <alignment horizontal="center" vertical="center"/>
      <protection locked="0"/>
    </xf>
    <xf numFmtId="164" fontId="2" fillId="2" borderId="14" xfId="0" applyNumberFormat="1" applyFont="1" applyFill="1" applyBorder="1" applyAlignment="1" applyProtection="1">
      <alignment horizontal="center" vertical="center"/>
      <protection locked="0"/>
    </xf>
    <xf numFmtId="168" fontId="8" fillId="2" borderId="3" xfId="0" applyNumberFormat="1" applyFont="1" applyFill="1" applyBorder="1" applyAlignment="1" applyProtection="1">
      <alignment horizontal="center" vertical="center" shrinkToFit="1"/>
      <protection locked="0"/>
    </xf>
    <xf numFmtId="0" fontId="12" fillId="0" borderId="1" xfId="0" applyFont="1" applyBorder="1" applyAlignment="1" applyProtection="1">
      <alignment horizontal="center" wrapText="1"/>
      <protection hidden="1"/>
    </xf>
    <xf numFmtId="166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wrapText="1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2" fillId="0" borderId="12" xfId="0" applyFont="1" applyBorder="1" applyAlignment="1" applyProtection="1">
      <alignment vertical="center"/>
      <protection hidden="1"/>
    </xf>
    <xf numFmtId="165" fontId="5" fillId="2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18" xfId="0" applyFont="1" applyFill="1" applyBorder="1" applyAlignment="1" applyProtection="1">
      <alignment horizont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5" fillId="0" borderId="14" xfId="0" applyNumberFormat="1" applyFont="1" applyBorder="1" applyAlignment="1" applyProtection="1">
      <alignment horizontal="center" vertical="center"/>
      <protection hidden="1"/>
    </xf>
    <xf numFmtId="2" fontId="7" fillId="0" borderId="0" xfId="0" applyNumberFormat="1" applyFont="1" applyAlignment="1" applyProtection="1">
      <alignment horizontal="center" vertical="center"/>
      <protection hidden="1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171" fontId="2" fillId="2" borderId="3" xfId="0" applyNumberFormat="1" applyFont="1" applyFill="1" applyBorder="1" applyAlignment="1" applyProtection="1">
      <alignment horizontal="center" vertical="center"/>
      <protection locked="0"/>
    </xf>
    <xf numFmtId="164" fontId="2" fillId="2" borderId="3" xfId="0" quotePrefix="1" applyNumberFormat="1" applyFont="1" applyFill="1" applyBorder="1" applyAlignment="1" applyProtection="1">
      <alignment horizontal="center" vertical="center"/>
      <protection locked="0"/>
    </xf>
    <xf numFmtId="172" fontId="2" fillId="0" borderId="0" xfId="0" applyNumberFormat="1" applyFont="1" applyProtection="1">
      <protection hidden="1"/>
    </xf>
    <xf numFmtId="164" fontId="0" fillId="0" borderId="0" xfId="0" applyNumberFormat="1"/>
    <xf numFmtId="172" fontId="0" fillId="0" borderId="0" xfId="0" applyNumberFormat="1"/>
    <xf numFmtId="164" fontId="13" fillId="0" borderId="0" xfId="0" applyNumberFormat="1" applyFont="1"/>
    <xf numFmtId="172" fontId="13" fillId="0" borderId="0" xfId="0" applyNumberFormat="1" applyFont="1"/>
    <xf numFmtId="0" fontId="0" fillId="4" borderId="0" xfId="0" applyFill="1"/>
    <xf numFmtId="164" fontId="2" fillId="4" borderId="3" xfId="0" applyNumberFormat="1" applyFont="1" applyFill="1" applyBorder="1" applyAlignment="1" applyProtection="1">
      <alignment horizontal="center" vertical="center"/>
      <protection locked="0"/>
    </xf>
    <xf numFmtId="0" fontId="5" fillId="4" borderId="3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168" fontId="8" fillId="4" borderId="3" xfId="0" applyNumberFormat="1" applyFont="1" applyFill="1" applyBorder="1" applyAlignment="1" applyProtection="1">
      <alignment horizontal="center" vertical="center" shrinkToFit="1"/>
      <protection locked="0"/>
    </xf>
    <xf numFmtId="165" fontId="5" fillId="4" borderId="3" xfId="0" applyNumberFormat="1" applyFont="1" applyFill="1" applyBorder="1" applyAlignment="1" applyProtection="1">
      <alignment horizontal="center" vertical="center"/>
      <protection locked="0"/>
    </xf>
    <xf numFmtId="165" fontId="2" fillId="4" borderId="3" xfId="0" applyNumberFormat="1" applyFont="1" applyFill="1" applyBorder="1" applyAlignment="1" applyProtection="1">
      <alignment horizontal="center" vertical="center"/>
      <protection locked="0"/>
    </xf>
    <xf numFmtId="0" fontId="1" fillId="4" borderId="0" xfId="0" applyFont="1" applyFill="1"/>
    <xf numFmtId="0" fontId="1" fillId="0" borderId="0" xfId="0" applyFont="1"/>
    <xf numFmtId="166" fontId="0" fillId="0" borderId="0" xfId="0" applyNumberFormat="1"/>
    <xf numFmtId="0" fontId="0" fillId="5" borderId="0" xfId="0" applyFill="1"/>
    <xf numFmtId="0" fontId="12" fillId="0" borderId="0" xfId="0" applyFont="1" applyBorder="1" applyAlignment="1" applyProtection="1">
      <alignment horizontal="center" vertical="center" wrapText="1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Protection="1">
      <protection hidden="1"/>
    </xf>
    <xf numFmtId="0" fontId="5" fillId="0" borderId="0" xfId="0" applyFont="1" applyAlignment="1" applyProtection="1">
      <alignment horizontal="right"/>
      <protection hidden="1"/>
    </xf>
    <xf numFmtId="172" fontId="0" fillId="5" borderId="0" xfId="0" applyNumberFormat="1" applyFill="1"/>
    <xf numFmtId="164" fontId="0" fillId="5" borderId="0" xfId="0" applyNumberFormat="1" applyFill="1"/>
    <xf numFmtId="164" fontId="2" fillId="2" borderId="1" xfId="0" applyNumberFormat="1" applyFont="1" applyFill="1" applyBorder="1" applyAlignment="1" applyProtection="1">
      <alignment horizontal="center" vertical="center"/>
      <protection hidden="1"/>
    </xf>
    <xf numFmtId="2" fontId="2" fillId="2" borderId="16" xfId="0" applyNumberFormat="1" applyFont="1" applyFill="1" applyBorder="1" applyAlignment="1" applyProtection="1">
      <alignment horizontal="center" vertical="center"/>
    </xf>
    <xf numFmtId="164" fontId="2" fillId="0" borderId="0" xfId="0" applyNumberFormat="1" applyFont="1" applyProtection="1">
      <protection hidden="1"/>
    </xf>
    <xf numFmtId="165" fontId="2" fillId="4" borderId="17" xfId="0" applyNumberFormat="1" applyFont="1" applyFill="1" applyBorder="1" applyAlignment="1" applyProtection="1">
      <alignment horizontal="center" vertical="center"/>
      <protection locked="0"/>
    </xf>
    <xf numFmtId="165" fontId="2" fillId="4" borderId="15" xfId="0" applyNumberFormat="1" applyFont="1" applyFill="1" applyBorder="1" applyAlignment="1" applyProtection="1">
      <alignment horizontal="center" vertical="center"/>
      <protection locked="0"/>
    </xf>
    <xf numFmtId="0" fontId="2" fillId="4" borderId="17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170" fontId="2" fillId="4" borderId="17" xfId="0" applyNumberFormat="1" applyFont="1" applyFill="1" applyBorder="1" applyAlignment="1" applyProtection="1">
      <alignment horizontal="center" vertical="center"/>
      <protection locked="0"/>
    </xf>
    <xf numFmtId="170" fontId="2" fillId="4" borderId="15" xfId="0" applyNumberFormat="1" applyFont="1" applyFill="1" applyBorder="1" applyAlignment="1" applyProtection="1">
      <alignment horizontal="center" vertical="center"/>
      <protection locked="0"/>
    </xf>
    <xf numFmtId="49" fontId="2" fillId="4" borderId="17" xfId="0" applyNumberFormat="1" applyFont="1" applyFill="1" applyBorder="1" applyAlignment="1" applyProtection="1">
      <alignment horizontal="center" vertical="center"/>
      <protection locked="0"/>
    </xf>
    <xf numFmtId="49" fontId="2" fillId="4" borderId="15" xfId="0" applyNumberFormat="1" applyFont="1" applyFill="1" applyBorder="1" applyAlignment="1" applyProtection="1">
      <alignment horizontal="center" vertical="center"/>
      <protection locked="0"/>
    </xf>
    <xf numFmtId="169" fontId="2" fillId="4" borderId="17" xfId="0" applyNumberFormat="1" applyFont="1" applyFill="1" applyBorder="1" applyAlignment="1" applyProtection="1">
      <alignment horizontal="center" vertical="center"/>
      <protection locked="0"/>
    </xf>
    <xf numFmtId="169" fontId="2" fillId="4" borderId="15" xfId="0" applyNumberFormat="1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left" vertical="top" wrapText="1"/>
      <protection locked="0"/>
    </xf>
    <xf numFmtId="0" fontId="2" fillId="2" borderId="10" xfId="0" applyFont="1" applyFill="1" applyBorder="1" applyAlignment="1" applyProtection="1">
      <alignment horizontal="left" vertical="top" wrapText="1"/>
      <protection locked="0"/>
    </xf>
    <xf numFmtId="0" fontId="2" fillId="2" borderId="9" xfId="0" applyFont="1" applyFill="1" applyBorder="1" applyAlignment="1" applyProtection="1">
      <alignment horizontal="left" vertical="top" wrapText="1"/>
      <protection locked="0"/>
    </xf>
    <xf numFmtId="0" fontId="2" fillId="2" borderId="11" xfId="0" applyFont="1" applyFill="1" applyBorder="1" applyAlignment="1" applyProtection="1">
      <alignment horizontal="left" vertical="top" wrapText="1"/>
      <protection locked="0"/>
    </xf>
    <xf numFmtId="0" fontId="2" fillId="2" borderId="12" xfId="0" applyFont="1" applyFill="1" applyBorder="1" applyAlignment="1" applyProtection="1">
      <alignment horizontal="left" vertical="top" wrapText="1"/>
      <protection locked="0"/>
    </xf>
    <xf numFmtId="0" fontId="2" fillId="2" borderId="13" xfId="0" applyFont="1" applyFill="1" applyBorder="1" applyAlignment="1" applyProtection="1">
      <alignment horizontal="left" vertical="top" wrapText="1"/>
      <protection locked="0"/>
    </xf>
    <xf numFmtId="165" fontId="2" fillId="2" borderId="17" xfId="0" applyNumberFormat="1" applyFont="1" applyFill="1" applyBorder="1" applyAlignment="1" applyProtection="1">
      <alignment horizontal="center" vertical="center"/>
      <protection locked="0"/>
    </xf>
    <xf numFmtId="165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11" fillId="2" borderId="8" xfId="0" applyFont="1" applyFill="1" applyBorder="1" applyAlignment="1" applyProtection="1">
      <alignment horizontal="center" vertical="center"/>
      <protection locked="0"/>
    </xf>
    <xf numFmtId="0" fontId="11" fillId="2" borderId="10" xfId="0" applyFont="1" applyFill="1" applyBorder="1" applyAlignment="1" applyProtection="1">
      <alignment horizontal="center" vertical="center"/>
      <protection locked="0"/>
    </xf>
    <xf numFmtId="0" fontId="11" fillId="2" borderId="9" xfId="0" applyFont="1" applyFill="1" applyBorder="1" applyAlignment="1" applyProtection="1">
      <alignment horizontal="center" vertical="center"/>
      <protection locked="0"/>
    </xf>
    <xf numFmtId="0" fontId="11" fillId="2" borderId="11" xfId="0" applyFont="1" applyFill="1" applyBorder="1" applyAlignment="1" applyProtection="1">
      <alignment horizontal="center" vertical="center"/>
      <protection locked="0"/>
    </xf>
    <xf numFmtId="0" fontId="11" fillId="2" borderId="12" xfId="0" applyFont="1" applyFill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49" fontId="2" fillId="2" borderId="17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168" fontId="5" fillId="0" borderId="6" xfId="0" applyNumberFormat="1" applyFont="1" applyBorder="1" applyAlignment="1" applyProtection="1">
      <alignment horizontal="center" vertical="center"/>
      <protection hidden="1"/>
    </xf>
    <xf numFmtId="168" fontId="5" fillId="0" borderId="7" xfId="0" applyNumberFormat="1" applyFont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169" fontId="2" fillId="2" borderId="17" xfId="0" applyNumberFormat="1" applyFont="1" applyFill="1" applyBorder="1" applyAlignment="1" applyProtection="1">
      <alignment horizontal="center" vertical="center"/>
      <protection locked="0"/>
    </xf>
    <xf numFmtId="169" fontId="2" fillId="2" borderId="15" xfId="0" applyNumberFormat="1" applyFont="1" applyFill="1" applyBorder="1" applyAlignment="1" applyProtection="1">
      <alignment horizontal="center" vertical="center"/>
      <protection locked="0"/>
    </xf>
    <xf numFmtId="170" fontId="2" fillId="2" borderId="17" xfId="0" applyNumberFormat="1" applyFont="1" applyFill="1" applyBorder="1" applyAlignment="1" applyProtection="1">
      <alignment horizontal="center" vertical="center"/>
      <protection locked="0"/>
    </xf>
    <xf numFmtId="170" fontId="2" fillId="2" borderId="15" xfId="0" applyNumberFormat="1" applyFont="1" applyFill="1" applyBorder="1" applyAlignment="1" applyProtection="1">
      <alignment horizontal="center" vertical="center"/>
      <protection locked="0"/>
    </xf>
    <xf numFmtId="164" fontId="2" fillId="2" borderId="5" xfId="0" applyNumberFormat="1" applyFont="1" applyFill="1" applyBorder="1" applyAlignment="1" applyProtection="1">
      <alignment horizontal="center" vertical="center"/>
    </xf>
    <xf numFmtId="164" fontId="2" fillId="2" borderId="3" xfId="0" applyNumberFormat="1" applyFont="1" applyFill="1" applyBorder="1" applyAlignment="1" applyProtection="1">
      <alignment horizontal="center" vertical="center"/>
    </xf>
    <xf numFmtId="164" fontId="2" fillId="2" borderId="17" xfId="0" applyNumberFormat="1" applyFont="1" applyFill="1" applyBorder="1" applyAlignment="1" applyProtection="1">
      <alignment horizontal="center" vertical="center"/>
    </xf>
    <xf numFmtId="164" fontId="2" fillId="3" borderId="3" xfId="0" applyNumberFormat="1" applyFont="1" applyFill="1" applyBorder="1" applyAlignment="1" applyProtection="1">
      <alignment horizontal="center" vertical="center"/>
    </xf>
    <xf numFmtId="164" fontId="2" fillId="3" borderId="17" xfId="0" applyNumberFormat="1" applyFont="1" applyFill="1" applyBorder="1" applyAlignment="1" applyProtection="1">
      <alignment horizontal="center" vertical="center"/>
    </xf>
    <xf numFmtId="164" fontId="2" fillId="0" borderId="1" xfId="0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Continuous" wrapText="1"/>
      <protection hidden="1"/>
    </xf>
    <xf numFmtId="2" fontId="2" fillId="4" borderId="3" xfId="0" applyNumberFormat="1" applyFont="1" applyFill="1" applyBorder="1" applyAlignment="1" applyProtection="1">
      <alignment horizontal="center" vertical="center"/>
      <protection locked="0"/>
    </xf>
    <xf numFmtId="0" fontId="0" fillId="5" borderId="0" xfId="0" applyNumberFormat="1" applyFill="1"/>
    <xf numFmtId="164" fontId="15" fillId="0" borderId="0" xfId="0" applyNumberFormat="1" applyFont="1" applyProtection="1">
      <protection hidden="1"/>
    </xf>
    <xf numFmtId="0" fontId="15" fillId="0" borderId="0" xfId="0" applyFont="1" applyProtection="1">
      <protection hidden="1"/>
    </xf>
    <xf numFmtId="0" fontId="2" fillId="0" borderId="0" xfId="0" applyFont="1" applyAlignment="1" applyProtection="1">
      <alignment horizontal="right" vertical="center" wrapText="1"/>
      <protection hidden="1"/>
    </xf>
    <xf numFmtId="164" fontId="2" fillId="4" borderId="21" xfId="0" applyNumberFormat="1" applyFont="1" applyFill="1" applyBorder="1" applyAlignment="1" applyProtection="1">
      <alignment horizontal="center" vertical="center"/>
      <protection locked="0"/>
    </xf>
    <xf numFmtId="164" fontId="2" fillId="4" borderId="24" xfId="0" applyNumberFormat="1" applyFont="1" applyFill="1" applyBorder="1" applyAlignment="1" applyProtection="1">
      <alignment horizontal="center" vertical="center"/>
      <protection locked="0"/>
    </xf>
    <xf numFmtId="164" fontId="2" fillId="4" borderId="25" xfId="0" applyNumberFormat="1" applyFont="1" applyFill="1" applyBorder="1" applyAlignment="1" applyProtection="1">
      <alignment horizontal="center" vertical="center"/>
      <protection locked="0"/>
    </xf>
    <xf numFmtId="164" fontId="2" fillId="0" borderId="20" xfId="0" applyNumberFormat="1" applyFont="1" applyBorder="1" applyAlignment="1" applyProtection="1">
      <alignment horizontal="center"/>
      <protection hidden="1"/>
    </xf>
    <xf numFmtId="172" fontId="2" fillId="0" borderId="0" xfId="0" applyNumberFormat="1" applyFont="1" applyBorder="1" applyAlignment="1" applyProtection="1">
      <alignment horizontal="center"/>
      <protection hidden="1"/>
    </xf>
    <xf numFmtId="164" fontId="2" fillId="0" borderId="0" xfId="0" applyNumberFormat="1" applyFont="1" applyBorder="1" applyAlignment="1" applyProtection="1">
      <alignment horizontal="center"/>
      <protection hidden="1"/>
    </xf>
    <xf numFmtId="164" fontId="2" fillId="0" borderId="22" xfId="0" applyNumberFormat="1" applyFont="1" applyBorder="1" applyAlignment="1" applyProtection="1">
      <alignment horizontal="center"/>
      <protection hidden="1"/>
    </xf>
    <xf numFmtId="172" fontId="2" fillId="0" borderId="0" xfId="0" applyNumberFormat="1" applyFont="1" applyFill="1" applyBorder="1" applyAlignment="1" applyProtection="1">
      <alignment horizontal="center"/>
      <protection hidden="1"/>
    </xf>
    <xf numFmtId="172" fontId="2" fillId="0" borderId="23" xfId="0" applyNumberFormat="1" applyFont="1" applyFill="1" applyBorder="1" applyAlignment="1" applyProtection="1">
      <alignment horizontal="center"/>
      <protection hidden="1"/>
    </xf>
    <xf numFmtId="164" fontId="2" fillId="0" borderId="23" xfId="0" applyNumberFormat="1" applyFont="1" applyBorder="1" applyAlignment="1" applyProtection="1">
      <alignment horizontal="center"/>
      <protection hidden="1"/>
    </xf>
    <xf numFmtId="164" fontId="2" fillId="4" borderId="5" xfId="0" applyNumberFormat="1" applyFont="1" applyFill="1" applyBorder="1" applyAlignment="1" applyProtection="1">
      <alignment horizontal="center" vertical="center"/>
      <protection locked="0"/>
    </xf>
    <xf numFmtId="164" fontId="2" fillId="4" borderId="26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2" fillId="0" borderId="23" xfId="0" applyFont="1" applyBorder="1" applyAlignment="1" applyProtection="1">
      <alignment horizontal="center" vertical="center" wrapText="1"/>
      <protection hidden="1"/>
    </xf>
    <xf numFmtId="0" fontId="2" fillId="0" borderId="27" xfId="0" applyFont="1" applyBorder="1" applyAlignment="1" applyProtection="1">
      <alignment horizontal="center" vertical="center" wrapText="1"/>
      <protection hidden="1"/>
    </xf>
    <xf numFmtId="172" fontId="2" fillId="4" borderId="19" xfId="0" applyNumberFormat="1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6">
    <dxf>
      <font>
        <b/>
        <i/>
        <color rgb="FFFF0000"/>
      </font>
    </dxf>
    <dxf>
      <font>
        <b/>
        <i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5B82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 sz="800" baseline="0"/>
              <a:t>Calibration Error Plot</a:t>
            </a:r>
            <a:r>
              <a:rPr lang="en-US" sz="1000" baseline="0"/>
              <a:t>
</a:t>
            </a:r>
          </a:p>
        </c:rich>
      </c:tx>
      <c:layout>
        <c:manualLayout>
          <c:xMode val="edge"/>
          <c:yMode val="edge"/>
          <c:x val="0.42537660495140817"/>
          <c:y val="8.13582093039556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13392920479535E-2"/>
          <c:y val="6.1800119940497049E-2"/>
          <c:w val="0.8690288713910761"/>
          <c:h val="0.89729355047236303"/>
        </c:manualLayout>
      </c:layout>
      <c:scatterChart>
        <c:scatterStyle val="lineMarker"/>
        <c:varyColors val="0"/>
        <c:ser>
          <c:idx val="0"/>
          <c:order val="0"/>
          <c:tx>
            <c:v>Run 1</c:v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5B82"/>
              </a:solidFill>
              <a:ln>
                <a:solidFill>
                  <a:srgbClr val="005B82"/>
                </a:solidFill>
                <a:prstDash val="solid"/>
              </a:ln>
            </c:spPr>
          </c:marker>
          <c:xVal>
            <c:strRef>
              <c:f>'Strain Ext Cal'!$C$40:$C$56</c:f>
              <c:strCache>
                <c:ptCount val="12"/>
                <c:pt idx="4">
                  <c:v>2.00</c:v>
                </c:pt>
                <c:pt idx="5">
                  <c:v>1.50</c:v>
                </c:pt>
                <c:pt idx="6">
                  <c:v>1.00</c:v>
                </c:pt>
                <c:pt idx="7">
                  <c:v>0.50</c:v>
                </c:pt>
                <c:pt idx="8">
                  <c:v>0.00</c:v>
                </c:pt>
                <c:pt idx="9">
                  <c:v>-1.00</c:v>
                </c:pt>
                <c:pt idx="10">
                  <c:v>-1.50</c:v>
                </c:pt>
                <c:pt idx="11">
                  <c:v>-2.00</c:v>
                </c:pt>
              </c:strCache>
            </c:strRef>
          </c:xVal>
          <c:yVal>
            <c:numRef>
              <c:f>'Strain Ext Cal'!$J$40:$J$56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-49.75628046494186</c:v>
                </c:pt>
                <c:pt idx="5">
                  <c:v>-33.909946154401851</c:v>
                </c:pt>
                <c:pt idx="6">
                  <c:v>-49.952922551347761</c:v>
                </c:pt>
                <c:pt idx="7">
                  <c:v>-1.8016815694648298</c:v>
                </c:pt>
                <c:pt idx="8">
                  <c:v>0</c:v>
                </c:pt>
                <c:pt idx="9">
                  <c:v>-49.153022538849292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E67-B706-CC87137264F5}"/>
            </c:ext>
          </c:extLst>
        </c:ser>
        <c:ser>
          <c:idx val="1"/>
          <c:order val="1"/>
          <c:tx>
            <c:v>Run 2</c:v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005B82"/>
              </a:solidFill>
              <a:ln>
                <a:solidFill>
                  <a:srgbClr val="005B82"/>
                </a:solidFill>
                <a:prstDash val="solid"/>
              </a:ln>
            </c:spPr>
          </c:marker>
          <c:xVal>
            <c:strRef>
              <c:f>'Strain Ext Cal'!$C$40:$C$55</c:f>
              <c:strCache>
                <c:ptCount val="12"/>
                <c:pt idx="4">
                  <c:v>2.00</c:v>
                </c:pt>
                <c:pt idx="5">
                  <c:v>1.50</c:v>
                </c:pt>
                <c:pt idx="6">
                  <c:v>1.00</c:v>
                </c:pt>
                <c:pt idx="7">
                  <c:v>0.50</c:v>
                </c:pt>
                <c:pt idx="8">
                  <c:v>0.00</c:v>
                </c:pt>
                <c:pt idx="9">
                  <c:v>-1.00</c:v>
                </c:pt>
                <c:pt idx="10">
                  <c:v>-1.50</c:v>
                </c:pt>
                <c:pt idx="11">
                  <c:v>-2.00</c:v>
                </c:pt>
              </c:strCache>
            </c:strRef>
          </c:xVal>
          <c:yVal>
            <c:numRef>
              <c:f>'Strain Ext Cal'!$K$40:$K$56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-50.249968753905748</c:v>
                </c:pt>
                <c:pt idx="5">
                  <c:v>-33.643218733155891</c:v>
                </c:pt>
                <c:pt idx="6">
                  <c:v>-49.752947548223155</c:v>
                </c:pt>
                <c:pt idx="7">
                  <c:v>-2.0018684105164817</c:v>
                </c:pt>
                <c:pt idx="8">
                  <c:v>0</c:v>
                </c:pt>
                <c:pt idx="9">
                  <c:v>-50.752822563846159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E67-B706-CC871372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21912"/>
        <c:axId val="248464600"/>
      </c:scatterChart>
      <c:valAx>
        <c:axId val="24122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Nominal Strain (%)</a:t>
                </a:r>
              </a:p>
            </c:rich>
          </c:tx>
          <c:layout>
            <c:manualLayout>
              <c:xMode val="edge"/>
              <c:yMode val="edge"/>
              <c:x val="0.43555607576080019"/>
              <c:y val="0.882123024681262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aseline="0"/>
            </a:pPr>
            <a:endParaRPr lang="fr-FR"/>
          </a:p>
        </c:txPr>
        <c:crossAx val="248464600"/>
        <c:crossesAt val="0"/>
        <c:crossBetween val="midCat"/>
      </c:valAx>
      <c:valAx>
        <c:axId val="248464600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/>
                  <a:t>Relative Error (%)</a:t>
                </a:r>
              </a:p>
            </c:rich>
          </c:tx>
          <c:layout>
            <c:manualLayout>
              <c:xMode val="edge"/>
              <c:yMode val="edge"/>
              <c:x val="1.0597715826062283E-2"/>
              <c:y val="0.2993835525752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aseline="0"/>
            </a:pPr>
            <a:endParaRPr lang="fr-FR"/>
          </a:p>
        </c:txPr>
        <c:crossAx val="241221912"/>
        <c:crossesAt val="-100"/>
        <c:crossBetween val="midCat"/>
      </c:valAx>
      <c:spPr>
        <a:noFill/>
        <a:ln w="12700">
          <a:solidFill>
            <a:srgbClr val="005B82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356019011137119"/>
          <c:y val="7.8816872668364527E-2"/>
          <c:w val="8.6750788643533139E-2"/>
          <c:h val="0.131661771118735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aseline="0"/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5B82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effectLst>
            <a:outerShdw blurRad="50800" dist="50800" dir="5400000" sx="8000" sy="8000" algn="ctr" rotWithShape="0">
              <a:srgbClr val="000000">
                <a:alpha val="43137"/>
              </a:srgbClr>
            </a:outerShdw>
          </a:effectLst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with New Gain / Delta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New Gain Run1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'Strain Ext Cal'!$W$40:$W$56</c:f>
              <c:numCache>
                <c:formatCode>0.000</c:formatCode>
                <c:ptCount val="17"/>
                <c:pt idx="0">
                  <c:v>2.000249999999999</c:v>
                </c:pt>
                <c:pt idx="1">
                  <c:v>2.000249999999999</c:v>
                </c:pt>
                <c:pt idx="2">
                  <c:v>2.000249999999999</c:v>
                </c:pt>
                <c:pt idx="3">
                  <c:v>2.000249999999999</c:v>
                </c:pt>
                <c:pt idx="4">
                  <c:v>2.000249999999999</c:v>
                </c:pt>
                <c:pt idx="5">
                  <c:v>1.4996583333333333</c:v>
                </c:pt>
                <c:pt idx="6">
                  <c:v>1.0001249999999997</c:v>
                </c:pt>
                <c:pt idx="7">
                  <c:v>0.49953333333333333</c:v>
                </c:pt>
                <c:pt idx="8">
                  <c:v>0</c:v>
                </c:pt>
                <c:pt idx="9">
                  <c:v>-1.0001250000000004</c:v>
                </c:pt>
                <c:pt idx="10">
                  <c:v>-1.4996583333333333</c:v>
                </c:pt>
                <c:pt idx="11">
                  <c:v>-2.0002500000000003</c:v>
                </c:pt>
                <c:pt idx="12">
                  <c:v>-2.0002500000000003</c:v>
                </c:pt>
                <c:pt idx="13">
                  <c:v>-2.0002500000000003</c:v>
                </c:pt>
                <c:pt idx="14">
                  <c:v>-2.0002500000000003</c:v>
                </c:pt>
                <c:pt idx="15">
                  <c:v>-2.0002500000000003</c:v>
                </c:pt>
                <c:pt idx="16">
                  <c:v>-2.0002500000000003</c:v>
                </c:pt>
              </c:numCache>
            </c:numRef>
          </c:xVal>
          <c:yVal>
            <c:numRef>
              <c:f>'Strain Ext Cal'!$Z$40:$Z$56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-0.29997361935556288</c:v>
                </c:pt>
                <c:pt idx="5">
                  <c:v>0.17714408235444412</c:v>
                </c:pt>
                <c:pt idx="6">
                  <c:v>-0.15331405035632306</c:v>
                </c:pt>
                <c:pt idx="7">
                  <c:v>0.33035944336860773</c:v>
                </c:pt>
                <c:pt idx="8">
                  <c:v>0</c:v>
                </c:pt>
                <c:pt idx="9">
                  <c:v>0.13977951200293437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F-4BD7-8B14-B042EED7BC6D}"/>
            </c:ext>
          </c:extLst>
        </c:ser>
        <c:ser>
          <c:idx val="1"/>
          <c:order val="1"/>
          <c:tx>
            <c:v>New Gain Run2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'Strain Ext Cal'!$W$40:$W$56</c:f>
              <c:numCache>
                <c:formatCode>0.000</c:formatCode>
                <c:ptCount val="17"/>
                <c:pt idx="0">
                  <c:v>2.000249999999999</c:v>
                </c:pt>
                <c:pt idx="1">
                  <c:v>2.000249999999999</c:v>
                </c:pt>
                <c:pt idx="2">
                  <c:v>2.000249999999999</c:v>
                </c:pt>
                <c:pt idx="3">
                  <c:v>2.000249999999999</c:v>
                </c:pt>
                <c:pt idx="4">
                  <c:v>2.000249999999999</c:v>
                </c:pt>
                <c:pt idx="5">
                  <c:v>1.4996583333333333</c:v>
                </c:pt>
                <c:pt idx="6">
                  <c:v>1.0001249999999997</c:v>
                </c:pt>
                <c:pt idx="7">
                  <c:v>0.49953333333333333</c:v>
                </c:pt>
                <c:pt idx="8">
                  <c:v>0</c:v>
                </c:pt>
                <c:pt idx="9">
                  <c:v>-1.0001250000000004</c:v>
                </c:pt>
                <c:pt idx="10">
                  <c:v>-1.4996583333333333</c:v>
                </c:pt>
                <c:pt idx="11">
                  <c:v>-2.0002500000000003</c:v>
                </c:pt>
                <c:pt idx="12">
                  <c:v>-2.0002500000000003</c:v>
                </c:pt>
                <c:pt idx="13">
                  <c:v>-2.0002500000000003</c:v>
                </c:pt>
                <c:pt idx="14">
                  <c:v>-2.0002500000000003</c:v>
                </c:pt>
                <c:pt idx="15">
                  <c:v>-2.0002500000000003</c:v>
                </c:pt>
                <c:pt idx="16">
                  <c:v>-2.0002500000000003</c:v>
                </c:pt>
              </c:numCache>
            </c:numRef>
          </c:xVal>
          <c:yVal>
            <c:numRef>
              <c:f>'Strain Ext Cal'!$AA$40:$AA$56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-0.3166803151355273</c:v>
                </c:pt>
                <c:pt idx="5">
                  <c:v>0.18391135153113836</c:v>
                </c:pt>
                <c:pt idx="6">
                  <c:v>-0.14993041576797583</c:v>
                </c:pt>
                <c:pt idx="7">
                  <c:v>0.32866762607443417</c:v>
                </c:pt>
                <c:pt idx="8">
                  <c:v>0</c:v>
                </c:pt>
                <c:pt idx="9">
                  <c:v>0.16684858870971142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F-4BD7-8B14-B042EED7BC6D}"/>
            </c:ext>
          </c:extLst>
        </c:ser>
        <c:ser>
          <c:idx val="2"/>
          <c:order val="2"/>
          <c:tx>
            <c:v>DeltaK Run1</c:v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'Strain Ext Cal'!$W$40:$W$56</c:f>
              <c:numCache>
                <c:formatCode>0.000</c:formatCode>
                <c:ptCount val="17"/>
                <c:pt idx="0">
                  <c:v>2.000249999999999</c:v>
                </c:pt>
                <c:pt idx="1">
                  <c:v>2.000249999999999</c:v>
                </c:pt>
                <c:pt idx="2">
                  <c:v>2.000249999999999</c:v>
                </c:pt>
                <c:pt idx="3">
                  <c:v>2.000249999999999</c:v>
                </c:pt>
                <c:pt idx="4">
                  <c:v>2.000249999999999</c:v>
                </c:pt>
                <c:pt idx="5">
                  <c:v>1.4996583333333333</c:v>
                </c:pt>
                <c:pt idx="6">
                  <c:v>1.0001249999999997</c:v>
                </c:pt>
                <c:pt idx="7">
                  <c:v>0.49953333333333333</c:v>
                </c:pt>
                <c:pt idx="8">
                  <c:v>0</c:v>
                </c:pt>
                <c:pt idx="9">
                  <c:v>-1.0001250000000004</c:v>
                </c:pt>
                <c:pt idx="10">
                  <c:v>-1.4996583333333333</c:v>
                </c:pt>
                <c:pt idx="11">
                  <c:v>-2.0002500000000003</c:v>
                </c:pt>
                <c:pt idx="12">
                  <c:v>-2.0002500000000003</c:v>
                </c:pt>
                <c:pt idx="13">
                  <c:v>-2.0002500000000003</c:v>
                </c:pt>
                <c:pt idx="14">
                  <c:v>-2.0002500000000003</c:v>
                </c:pt>
                <c:pt idx="15">
                  <c:v>-2.0002500000000003</c:v>
                </c:pt>
                <c:pt idx="16">
                  <c:v>-2.0002500000000003</c:v>
                </c:pt>
              </c:numCache>
            </c:numRef>
          </c:xVal>
          <c:yVal>
            <c:numRef>
              <c:f>'Strain Ext Cal'!$AD$40:$AD$56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2F-4BD7-8B14-B042EED7BC6D}"/>
            </c:ext>
          </c:extLst>
        </c:ser>
        <c:ser>
          <c:idx val="3"/>
          <c:order val="3"/>
          <c:tx>
            <c:v>Delta K Run2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'Strain Ext Cal'!$W$40:$W$56</c:f>
              <c:numCache>
                <c:formatCode>0.000</c:formatCode>
                <c:ptCount val="17"/>
                <c:pt idx="0">
                  <c:v>2.000249999999999</c:v>
                </c:pt>
                <c:pt idx="1">
                  <c:v>2.000249999999999</c:v>
                </c:pt>
                <c:pt idx="2">
                  <c:v>2.000249999999999</c:v>
                </c:pt>
                <c:pt idx="3">
                  <c:v>2.000249999999999</c:v>
                </c:pt>
                <c:pt idx="4">
                  <c:v>2.000249999999999</c:v>
                </c:pt>
                <c:pt idx="5">
                  <c:v>1.4996583333333333</c:v>
                </c:pt>
                <c:pt idx="6">
                  <c:v>1.0001249999999997</c:v>
                </c:pt>
                <c:pt idx="7">
                  <c:v>0.49953333333333333</c:v>
                </c:pt>
                <c:pt idx="8">
                  <c:v>0</c:v>
                </c:pt>
                <c:pt idx="9">
                  <c:v>-1.0001250000000004</c:v>
                </c:pt>
                <c:pt idx="10">
                  <c:v>-1.4996583333333333</c:v>
                </c:pt>
                <c:pt idx="11">
                  <c:v>-2.0002500000000003</c:v>
                </c:pt>
                <c:pt idx="12">
                  <c:v>-2.0002500000000003</c:v>
                </c:pt>
                <c:pt idx="13">
                  <c:v>-2.0002500000000003</c:v>
                </c:pt>
                <c:pt idx="14">
                  <c:v>-2.0002500000000003</c:v>
                </c:pt>
                <c:pt idx="15">
                  <c:v>-2.0002500000000003</c:v>
                </c:pt>
                <c:pt idx="16">
                  <c:v>-2.0002500000000003</c:v>
                </c:pt>
              </c:numCache>
            </c:numRef>
          </c:xVal>
          <c:yVal>
            <c:numRef>
              <c:f>'Strain Ext Cal'!$AE$40:$AE$56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2F-4BD7-8B14-B042EED7BC6D}"/>
            </c:ext>
          </c:extLst>
        </c:ser>
        <c:ser>
          <c:idx val="4"/>
          <c:order val="4"/>
          <c:tx>
            <c:v>Tol+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'Strain Ext Cal'!$W$40:$W$56</c:f>
              <c:numCache>
                <c:formatCode>0.000</c:formatCode>
                <c:ptCount val="17"/>
                <c:pt idx="0">
                  <c:v>2.000249999999999</c:v>
                </c:pt>
                <c:pt idx="1">
                  <c:v>2.000249999999999</c:v>
                </c:pt>
                <c:pt idx="2">
                  <c:v>2.000249999999999</c:v>
                </c:pt>
                <c:pt idx="3">
                  <c:v>2.000249999999999</c:v>
                </c:pt>
                <c:pt idx="4">
                  <c:v>2.000249999999999</c:v>
                </c:pt>
                <c:pt idx="5">
                  <c:v>1.4996583333333333</c:v>
                </c:pt>
                <c:pt idx="6">
                  <c:v>1.0001249999999997</c:v>
                </c:pt>
                <c:pt idx="7">
                  <c:v>0.49953333333333333</c:v>
                </c:pt>
                <c:pt idx="8">
                  <c:v>0</c:v>
                </c:pt>
                <c:pt idx="9">
                  <c:v>-1.0001250000000004</c:v>
                </c:pt>
                <c:pt idx="10">
                  <c:v>-1.4996583333333333</c:v>
                </c:pt>
                <c:pt idx="11">
                  <c:v>-2.0002500000000003</c:v>
                </c:pt>
                <c:pt idx="12">
                  <c:v>-2.0002500000000003</c:v>
                </c:pt>
                <c:pt idx="13">
                  <c:v>-2.0002500000000003</c:v>
                </c:pt>
                <c:pt idx="14">
                  <c:v>-2.0002500000000003</c:v>
                </c:pt>
                <c:pt idx="15">
                  <c:v>-2.0002500000000003</c:v>
                </c:pt>
                <c:pt idx="16">
                  <c:v>-2.0002500000000003</c:v>
                </c:pt>
              </c:numCache>
            </c:numRef>
          </c:xVal>
          <c:yVal>
            <c:numRef>
              <c:f>'Strain Ext Cal'!$AF$40:$AF$56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0.10001249999999995</c:v>
                </c:pt>
                <c:pt idx="5">
                  <c:v>7.4982916666666677E-2</c:v>
                </c:pt>
                <c:pt idx="6">
                  <c:v>5.0006249999999988E-2</c:v>
                </c:pt>
                <c:pt idx="7">
                  <c:v>2.4976666666666668E-2</c:v>
                </c:pt>
                <c:pt idx="8">
                  <c:v>0</c:v>
                </c:pt>
                <c:pt idx="9">
                  <c:v>-5.0006250000000023E-2</c:v>
                </c:pt>
                <c:pt idx="10">
                  <c:v>-7.4982916666666677E-2</c:v>
                </c:pt>
                <c:pt idx="11">
                  <c:v>-0.10001250000000002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2F-4BD7-8B14-B042EED7BC6D}"/>
            </c:ext>
          </c:extLst>
        </c:ser>
        <c:ser>
          <c:idx val="5"/>
          <c:order val="5"/>
          <c:tx>
            <c:v>Tol-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'Strain Ext Cal'!$W$40:$W$56</c:f>
              <c:numCache>
                <c:formatCode>0.000</c:formatCode>
                <c:ptCount val="17"/>
                <c:pt idx="0">
                  <c:v>2.000249999999999</c:v>
                </c:pt>
                <c:pt idx="1">
                  <c:v>2.000249999999999</c:v>
                </c:pt>
                <c:pt idx="2">
                  <c:v>2.000249999999999</c:v>
                </c:pt>
                <c:pt idx="3">
                  <c:v>2.000249999999999</c:v>
                </c:pt>
                <c:pt idx="4">
                  <c:v>2.000249999999999</c:v>
                </c:pt>
                <c:pt idx="5">
                  <c:v>1.4996583333333333</c:v>
                </c:pt>
                <c:pt idx="6">
                  <c:v>1.0001249999999997</c:v>
                </c:pt>
                <c:pt idx="7">
                  <c:v>0.49953333333333333</c:v>
                </c:pt>
                <c:pt idx="8">
                  <c:v>0</c:v>
                </c:pt>
                <c:pt idx="9">
                  <c:v>-1.0001250000000004</c:v>
                </c:pt>
                <c:pt idx="10">
                  <c:v>-1.4996583333333333</c:v>
                </c:pt>
                <c:pt idx="11">
                  <c:v>-2.0002500000000003</c:v>
                </c:pt>
                <c:pt idx="12">
                  <c:v>-2.0002500000000003</c:v>
                </c:pt>
                <c:pt idx="13">
                  <c:v>-2.0002500000000003</c:v>
                </c:pt>
                <c:pt idx="14">
                  <c:v>-2.0002500000000003</c:v>
                </c:pt>
                <c:pt idx="15">
                  <c:v>-2.0002500000000003</c:v>
                </c:pt>
                <c:pt idx="16">
                  <c:v>-2.0002500000000003</c:v>
                </c:pt>
              </c:numCache>
            </c:numRef>
          </c:xVal>
          <c:yVal>
            <c:numRef>
              <c:f>'Strain Ext Cal'!$AG$40:$AG$56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-0.10001249999999995</c:v>
                </c:pt>
                <c:pt idx="5">
                  <c:v>-7.4982916666666677E-2</c:v>
                </c:pt>
                <c:pt idx="6">
                  <c:v>-5.0006249999999988E-2</c:v>
                </c:pt>
                <c:pt idx="7">
                  <c:v>-2.4976666666666668E-2</c:v>
                </c:pt>
                <c:pt idx="8">
                  <c:v>0</c:v>
                </c:pt>
                <c:pt idx="9">
                  <c:v>5.0006250000000023E-2</c:v>
                </c:pt>
                <c:pt idx="10">
                  <c:v>7.4982916666666677E-2</c:v>
                </c:pt>
                <c:pt idx="11">
                  <c:v>0.10001250000000002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2F-4BD7-8B14-B042EED7B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067432"/>
        <c:axId val="883059232"/>
      </c:scatterChart>
      <c:valAx>
        <c:axId val="88306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3059232"/>
        <c:crosses val="autoZero"/>
        <c:crossBetween val="midCat"/>
      </c:valAx>
      <c:valAx>
        <c:axId val="8830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306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</xdr:row>
      <xdr:rowOff>68580</xdr:rowOff>
    </xdr:from>
    <xdr:to>
      <xdr:col>11</xdr:col>
      <xdr:colOff>647700</xdr:colOff>
      <xdr:row>36</xdr:row>
      <xdr:rowOff>0</xdr:rowOff>
    </xdr:to>
    <xdr:graphicFrame macro="">
      <xdr:nvGraphicFramePr>
        <xdr:cNvPr id="1289" name="Chart 5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160020</xdr:colOff>
      <xdr:row>19</xdr:row>
      <xdr:rowOff>114300</xdr:rowOff>
    </xdr:from>
    <xdr:ext cx="54117" cy="170560"/>
    <xdr:sp macro="" textlink="">
      <xdr:nvSpPr>
        <xdr:cNvPr id="1062" name="Text Box 38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>
          <a:spLocks noChangeArrowheads="1"/>
        </xdr:cNvSpPr>
      </xdr:nvSpPr>
      <xdr:spPr bwMode="auto">
        <a:xfrm>
          <a:off x="3760470" y="2219325"/>
          <a:ext cx="54117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0</xdr:col>
      <xdr:colOff>106680</xdr:colOff>
      <xdr:row>0</xdr:row>
      <xdr:rowOff>68580</xdr:rowOff>
    </xdr:from>
    <xdr:to>
      <xdr:col>1</xdr:col>
      <xdr:colOff>114300</xdr:colOff>
      <xdr:row>5</xdr:row>
      <xdr:rowOff>69385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93DD34-CF70-47DA-B288-04158BD7E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68580"/>
          <a:ext cx="609600" cy="678985"/>
        </a:xfrm>
        <a:prstGeom prst="rect">
          <a:avLst/>
        </a:prstGeom>
      </xdr:spPr>
    </xdr:pic>
    <xdr:clientData/>
  </xdr:twoCellAnchor>
  <xdr:twoCellAnchor>
    <xdr:from>
      <xdr:col>24</xdr:col>
      <xdr:colOff>152400</xdr:colOff>
      <xdr:row>9</xdr:row>
      <xdr:rowOff>114299</xdr:rowOff>
    </xdr:from>
    <xdr:to>
      <xdr:col>38</xdr:col>
      <xdr:colOff>323850</xdr:colOff>
      <xdr:row>35</xdr:row>
      <xdr:rowOff>47624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101A7E-9DA7-4291-B241-38E67D85B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N59"/>
  <sheetViews>
    <sheetView tabSelected="1" topLeftCell="F1" zoomScaleNormal="100" workbookViewId="0">
      <selection activeCell="U48" sqref="U48"/>
    </sheetView>
  </sheetViews>
  <sheetFormatPr baseColWidth="10" defaultColWidth="9.140625" defaultRowHeight="15" x14ac:dyDescent="0.3"/>
  <cols>
    <col min="1" max="1" width="8.7109375" style="14" customWidth="1"/>
    <col min="2" max="2" width="9.42578125" style="14" customWidth="1"/>
    <col min="3" max="3" width="7.28515625" style="14" customWidth="1"/>
    <col min="4" max="5" width="7.7109375" style="14" customWidth="1"/>
    <col min="6" max="7" width="9.140625" style="14" customWidth="1"/>
    <col min="8" max="9" width="9.28515625" style="14" customWidth="1"/>
    <col min="10" max="11" width="8.28515625" style="14" customWidth="1"/>
    <col min="12" max="13" width="10.28515625" style="14" customWidth="1"/>
    <col min="14" max="15" width="8.85546875" style="14" customWidth="1"/>
    <col min="16" max="16" width="12.5703125" style="14" customWidth="1"/>
    <col min="17" max="18" width="9.140625" style="14"/>
    <col min="19" max="19" width="3.7109375" style="14" customWidth="1"/>
    <col min="20" max="20" width="5" style="14" customWidth="1"/>
    <col min="21" max="21" width="10.28515625" style="14" bestFit="1" customWidth="1"/>
    <col min="22" max="23" width="9.140625" style="14"/>
    <col min="24" max="24" width="10.28515625" style="14" bestFit="1" customWidth="1"/>
    <col min="25" max="25" width="9.140625" style="14"/>
    <col min="26" max="27" width="3" style="14" customWidth="1"/>
    <col min="28" max="29" width="9.140625" style="14"/>
    <col min="30" max="31" width="3" style="14" customWidth="1"/>
    <col min="32" max="33" width="2.7109375" style="14" customWidth="1"/>
    <col min="34" max="16384" width="9.140625" style="14"/>
  </cols>
  <sheetData>
    <row r="1" spans="1:24" ht="12.75" customHeight="1" x14ac:dyDescent="0.3">
      <c r="F1" s="15" t="s">
        <v>0</v>
      </c>
    </row>
    <row r="2" spans="1:24" ht="7.9" customHeight="1" x14ac:dyDescent="0.3">
      <c r="E2" s="15"/>
      <c r="G2" s="15"/>
      <c r="H2" s="15"/>
    </row>
    <row r="3" spans="1:24" ht="12.75" customHeight="1" x14ac:dyDescent="0.3">
      <c r="F3" s="16" t="s">
        <v>25</v>
      </c>
    </row>
    <row r="4" spans="1:24" ht="12.75" customHeight="1" x14ac:dyDescent="0.3">
      <c r="D4" s="17"/>
      <c r="E4" s="17"/>
      <c r="F4" s="16" t="s">
        <v>11</v>
      </c>
      <c r="G4" s="17"/>
      <c r="H4" s="17"/>
    </row>
    <row r="5" spans="1:24" ht="7.9" customHeight="1" x14ac:dyDescent="0.3">
      <c r="J5" s="18"/>
      <c r="K5" s="19"/>
    </row>
    <row r="6" spans="1:24" ht="12.75" customHeight="1" x14ac:dyDescent="0.3">
      <c r="G6" s="38" t="s">
        <v>16</v>
      </c>
      <c r="H6" s="67">
        <f>W6</f>
        <v>10011</v>
      </c>
      <c r="J6" s="20"/>
      <c r="L6" s="21" t="s">
        <v>23</v>
      </c>
      <c r="V6" s="38" t="s">
        <v>88</v>
      </c>
      <c r="W6" s="78">
        <v>10011</v>
      </c>
    </row>
    <row r="7" spans="1:24" ht="12.75" customHeight="1" x14ac:dyDescent="0.3">
      <c r="B7" s="35" t="s">
        <v>5</v>
      </c>
      <c r="C7" s="122" t="str">
        <f>P7</f>
        <v>PGO</v>
      </c>
      <c r="D7" s="123"/>
      <c r="G7" s="40" t="s">
        <v>26</v>
      </c>
      <c r="H7" s="68">
        <f>W7</f>
        <v>23817</v>
      </c>
      <c r="J7" s="22" t="s">
        <v>17</v>
      </c>
      <c r="K7" s="112" t="str">
        <f>IF(P24="","",P24)</f>
        <v/>
      </c>
      <c r="L7" s="113"/>
      <c r="O7" s="35" t="s">
        <v>5</v>
      </c>
      <c r="P7" s="102" t="s">
        <v>60</v>
      </c>
      <c r="Q7" s="103"/>
      <c r="V7" s="40" t="s">
        <v>26</v>
      </c>
      <c r="W7" s="79">
        <v>23817</v>
      </c>
    </row>
    <row r="8" spans="1:24" ht="12.75" customHeight="1" x14ac:dyDescent="0.3">
      <c r="B8" s="39" t="s">
        <v>6</v>
      </c>
      <c r="C8" s="126">
        <f>P8</f>
        <v>20021</v>
      </c>
      <c r="D8" s="127"/>
      <c r="E8" s="40"/>
      <c r="G8" s="24" t="s">
        <v>34</v>
      </c>
      <c r="H8" s="69">
        <f>'Vis micro'!B14</f>
        <v>1.27E-4</v>
      </c>
      <c r="J8" s="22" t="s">
        <v>18</v>
      </c>
      <c r="K8" s="112" t="str">
        <f>IF(P25="","",P25)</f>
        <v/>
      </c>
      <c r="L8" s="113"/>
      <c r="O8" s="39" t="s">
        <v>6</v>
      </c>
      <c r="P8" s="98">
        <v>20021</v>
      </c>
      <c r="Q8" s="99"/>
    </row>
    <row r="9" spans="1:24" ht="12.75" customHeight="1" x14ac:dyDescent="0.3">
      <c r="B9" s="40" t="s">
        <v>27</v>
      </c>
      <c r="C9" s="128">
        <f>P9</f>
        <v>23</v>
      </c>
      <c r="D9" s="129"/>
      <c r="E9" s="40"/>
      <c r="G9" s="24" t="s">
        <v>37</v>
      </c>
      <c r="H9" s="52">
        <f>W9</f>
        <v>43819</v>
      </c>
      <c r="J9" s="22" t="s">
        <v>19</v>
      </c>
      <c r="K9" s="112">
        <f>IF(P26="","",P26)</f>
        <v>2219.58</v>
      </c>
      <c r="L9" s="113"/>
      <c r="O9" s="40" t="s">
        <v>27</v>
      </c>
      <c r="P9" s="104">
        <v>23</v>
      </c>
      <c r="Q9" s="105"/>
      <c r="V9" s="24" t="s">
        <v>37</v>
      </c>
      <c r="W9" s="80">
        <v>43819</v>
      </c>
    </row>
    <row r="10" spans="1:24" ht="12.75" customHeight="1" x14ac:dyDescent="0.3">
      <c r="A10" s="22"/>
      <c r="B10" s="36" t="s">
        <v>38</v>
      </c>
      <c r="C10" s="126">
        <f>P10</f>
        <v>44</v>
      </c>
      <c r="D10" s="127"/>
      <c r="E10" s="40"/>
      <c r="G10" s="40" t="s">
        <v>36</v>
      </c>
      <c r="H10" s="68" t="str">
        <f>W10</f>
        <v># 5</v>
      </c>
      <c r="J10" s="22" t="s">
        <v>20</v>
      </c>
      <c r="K10" s="112">
        <f>IF(P27="","",P27)</f>
        <v>1</v>
      </c>
      <c r="L10" s="113"/>
      <c r="N10" s="22"/>
      <c r="O10" s="36" t="s">
        <v>38</v>
      </c>
      <c r="P10" s="98">
        <v>44</v>
      </c>
      <c r="Q10" s="99"/>
      <c r="V10" s="40" t="s">
        <v>36</v>
      </c>
      <c r="W10" s="79" t="s">
        <v>63</v>
      </c>
    </row>
    <row r="11" spans="1:24" ht="12.75" customHeight="1" x14ac:dyDescent="0.3">
      <c r="B11" s="38" t="s">
        <v>30</v>
      </c>
      <c r="C11" s="130">
        <f>P11</f>
        <v>43531</v>
      </c>
      <c r="D11" s="131"/>
      <c r="E11" s="40"/>
      <c r="G11" s="40" t="s">
        <v>4</v>
      </c>
      <c r="H11" s="48" t="s">
        <v>89</v>
      </c>
      <c r="J11" s="22" t="s">
        <v>21</v>
      </c>
      <c r="K11" s="112">
        <f>IF(P28="","",P28)</f>
        <v>7.5</v>
      </c>
      <c r="L11" s="113"/>
      <c r="O11" s="38" t="s">
        <v>30</v>
      </c>
      <c r="P11" s="100">
        <v>43531</v>
      </c>
      <c r="Q11" s="101"/>
    </row>
    <row r="12" spans="1:24" ht="12.75" customHeight="1" x14ac:dyDescent="0.3">
      <c r="B12" s="40" t="s">
        <v>31</v>
      </c>
      <c r="C12" s="126" t="str">
        <f>P12</f>
        <v>NA</v>
      </c>
      <c r="D12" s="127"/>
      <c r="E12" s="40"/>
      <c r="G12" s="40" t="s">
        <v>33</v>
      </c>
      <c r="H12" s="58" t="str">
        <f>W12</f>
        <v>mm</v>
      </c>
      <c r="J12" s="22" t="s">
        <v>28</v>
      </c>
      <c r="K12" s="112" t="str">
        <f>IF(P31="","",P31)</f>
        <v/>
      </c>
      <c r="L12" s="113"/>
      <c r="O12" s="40" t="s">
        <v>31</v>
      </c>
      <c r="P12" s="98" t="s">
        <v>61</v>
      </c>
      <c r="Q12" s="99"/>
      <c r="V12" s="40" t="s">
        <v>33</v>
      </c>
      <c r="W12" s="81" t="s">
        <v>62</v>
      </c>
    </row>
    <row r="13" spans="1:24" ht="12.75" customHeight="1" thickBot="1" x14ac:dyDescent="0.35">
      <c r="B13" s="22"/>
      <c r="C13" s="64"/>
      <c r="D13" s="23"/>
      <c r="E13" s="40"/>
      <c r="G13" s="40" t="s">
        <v>2</v>
      </c>
      <c r="H13" s="49">
        <f>(X16-W16)/100/20*H14</f>
        <v>0.06</v>
      </c>
      <c r="J13" s="25" t="s">
        <v>29</v>
      </c>
      <c r="K13" s="112" t="str">
        <f>IF(P32="","",P32)</f>
        <v/>
      </c>
      <c r="L13" s="113"/>
      <c r="V13" s="40"/>
      <c r="W13" s="40"/>
    </row>
    <row r="14" spans="1:24" ht="12.75" customHeight="1" thickBot="1" x14ac:dyDescent="0.35">
      <c r="B14" s="24" t="s">
        <v>32</v>
      </c>
      <c r="C14" s="124">
        <v>43621</v>
      </c>
      <c r="D14" s="125"/>
      <c r="E14" s="40"/>
      <c r="G14" s="40" t="s">
        <v>3</v>
      </c>
      <c r="H14" s="50">
        <f>W14</f>
        <v>12</v>
      </c>
      <c r="K14" s="26"/>
      <c r="L14" s="26"/>
      <c r="V14" s="40" t="s">
        <v>3</v>
      </c>
      <c r="W14" s="77">
        <v>12</v>
      </c>
    </row>
    <row r="15" spans="1:24" ht="12.75" customHeight="1" thickBot="1" x14ac:dyDescent="0.35">
      <c r="B15" s="37" t="s">
        <v>40</v>
      </c>
      <c r="C15" s="65">
        <f>IF(ISBLANK(H8)," ",IF(H14&gt;2.1,H8*100*H14,H8*100*H14*100))</f>
        <v>0.15239999999999998</v>
      </c>
      <c r="D15" s="66"/>
      <c r="E15" s="40"/>
      <c r="G15" s="27" t="s">
        <v>35</v>
      </c>
      <c r="H15" s="49" t="str">
        <f>W15</f>
        <v>as found</v>
      </c>
      <c r="K15" s="26"/>
      <c r="L15" s="26"/>
      <c r="V15" s="27" t="s">
        <v>35</v>
      </c>
      <c r="W15" s="82" t="s">
        <v>64</v>
      </c>
    </row>
    <row r="16" spans="1:24" ht="12.75" customHeight="1" x14ac:dyDescent="0.3">
      <c r="G16" s="22" t="s">
        <v>41</v>
      </c>
      <c r="H16" s="70" t="str">
        <f>CONCATENATE(W16,"/",X16,"%")</f>
        <v>-5/5%</v>
      </c>
      <c r="J16" s="35" t="s">
        <v>39</v>
      </c>
      <c r="K16" s="35"/>
      <c r="L16" s="26"/>
      <c r="V16" s="46" t="s">
        <v>71</v>
      </c>
      <c r="W16" s="139">
        <v>-5</v>
      </c>
      <c r="X16" s="139">
        <v>5</v>
      </c>
    </row>
    <row r="17" spans="1:24" ht="3.6" customHeight="1" thickBot="1" x14ac:dyDescent="0.35">
      <c r="G17" s="22"/>
      <c r="H17" s="47"/>
      <c r="L17" s="57"/>
    </row>
    <row r="18" spans="1:24" ht="12.75" customHeight="1" x14ac:dyDescent="0.3">
      <c r="A18" s="28" t="s">
        <v>22</v>
      </c>
      <c r="B18" s="106"/>
      <c r="C18" s="107"/>
      <c r="D18" s="107"/>
      <c r="E18" s="107"/>
      <c r="F18" s="107"/>
      <c r="G18" s="108"/>
      <c r="H18" s="47"/>
      <c r="J18" s="114"/>
      <c r="K18" s="115"/>
      <c r="L18" s="116"/>
    </row>
    <row r="19" spans="1:24" ht="12.75" customHeight="1" thickBot="1" x14ac:dyDescent="0.35">
      <c r="B19" s="109"/>
      <c r="C19" s="110"/>
      <c r="D19" s="110"/>
      <c r="E19" s="110"/>
      <c r="F19" s="110"/>
      <c r="G19" s="111"/>
      <c r="H19" s="29"/>
      <c r="J19" s="117"/>
      <c r="K19" s="118"/>
      <c r="L19" s="119"/>
    </row>
    <row r="20" spans="1:24" ht="3" customHeight="1" x14ac:dyDescent="0.3">
      <c r="B20" s="42"/>
      <c r="C20" s="42"/>
      <c r="D20" s="42"/>
      <c r="E20" s="42"/>
      <c r="F20" s="42"/>
      <c r="G20" s="42"/>
      <c r="H20" s="29"/>
    </row>
    <row r="21" spans="1:24" ht="12.75" customHeight="1" thickBot="1" x14ac:dyDescent="0.35">
      <c r="C21" s="43" t="s">
        <v>45</v>
      </c>
      <c r="D21" s="43" t="s">
        <v>49</v>
      </c>
      <c r="E21" s="43" t="s">
        <v>44</v>
      </c>
      <c r="F21" s="43" t="s">
        <v>46</v>
      </c>
      <c r="G21" s="43" t="s">
        <v>49</v>
      </c>
      <c r="H21" s="43" t="s">
        <v>44</v>
      </c>
      <c r="M21" s="30"/>
      <c r="N21" s="30"/>
    </row>
    <row r="22" spans="1:24" ht="12.75" customHeight="1" thickBot="1" x14ac:dyDescent="0.35">
      <c r="B22" s="46" t="s">
        <v>43</v>
      </c>
      <c r="C22" s="44">
        <f>IF(ISBLANK(H14)," ",H14)</f>
        <v>12</v>
      </c>
      <c r="D22" s="51">
        <f>$C$22*(1+P36/100)</f>
        <v>12.001200000000001</v>
      </c>
      <c r="E22" s="45">
        <f>IF(ISBLANK(D22)," ",(D22-C22)/C22*100)</f>
        <v>1.0000000000006299E-2</v>
      </c>
      <c r="F22" s="44">
        <f>IF(ISBLANK(H14)," ",H14)</f>
        <v>12</v>
      </c>
      <c r="G22" s="51">
        <f>$F$22*(1+Q36/100)</f>
        <v>12.03</v>
      </c>
      <c r="H22" s="45">
        <f>IF(ISBLANK(G22)," ",(G22-F22)/F22*100)</f>
        <v>0.24999999999999467</v>
      </c>
      <c r="K22" s="31">
        <v>0</v>
      </c>
      <c r="M22" s="30"/>
      <c r="N22" s="30"/>
    </row>
    <row r="23" spans="1:24" ht="12.75" customHeight="1" x14ac:dyDescent="0.3">
      <c r="K23" s="31">
        <v>-10</v>
      </c>
      <c r="M23" s="30"/>
      <c r="O23" s="20"/>
      <c r="Q23" s="21" t="s">
        <v>23</v>
      </c>
    </row>
    <row r="24" spans="1:24" x14ac:dyDescent="0.3">
      <c r="K24" s="31">
        <v>-20</v>
      </c>
      <c r="M24" s="30"/>
      <c r="O24" s="22" t="s">
        <v>17</v>
      </c>
      <c r="P24" s="96"/>
      <c r="Q24" s="97"/>
      <c r="V24" s="46" t="s">
        <v>75</v>
      </c>
      <c r="W24" s="139">
        <v>-1</v>
      </c>
      <c r="X24" s="139">
        <v>1</v>
      </c>
    </row>
    <row r="25" spans="1:24" x14ac:dyDescent="0.3">
      <c r="K25" s="31">
        <v>-30</v>
      </c>
      <c r="O25" s="22" t="s">
        <v>18</v>
      </c>
      <c r="P25" s="96"/>
      <c r="Q25" s="97"/>
      <c r="V25" s="90" t="s">
        <v>85</v>
      </c>
      <c r="W25" s="139">
        <v>0</v>
      </c>
      <c r="X25" s="139">
        <v>1</v>
      </c>
    </row>
    <row r="26" spans="1:24" x14ac:dyDescent="0.3">
      <c r="K26" s="31">
        <v>-40</v>
      </c>
      <c r="O26" s="22" t="s">
        <v>19</v>
      </c>
      <c r="P26" s="96">
        <v>2219.58</v>
      </c>
      <c r="Q26" s="97"/>
      <c r="V26" s="90" t="s">
        <v>84</v>
      </c>
      <c r="W26" s="139">
        <v>0.8</v>
      </c>
    </row>
    <row r="27" spans="1:24" x14ac:dyDescent="0.3">
      <c r="K27" s="31">
        <v>-50</v>
      </c>
      <c r="O27" s="22" t="s">
        <v>20</v>
      </c>
      <c r="P27" s="96">
        <v>1</v>
      </c>
      <c r="Q27" s="97"/>
    </row>
    <row r="28" spans="1:24" x14ac:dyDescent="0.3">
      <c r="K28" s="31">
        <v>-60</v>
      </c>
      <c r="O28" s="22" t="s">
        <v>21</v>
      </c>
      <c r="P28" s="96">
        <v>7.5</v>
      </c>
      <c r="Q28" s="97"/>
    </row>
    <row r="29" spans="1:24" x14ac:dyDescent="0.3">
      <c r="K29" s="31">
        <v>-70</v>
      </c>
      <c r="O29" s="22" t="s">
        <v>87</v>
      </c>
      <c r="P29" s="96"/>
      <c r="Q29" s="97"/>
    </row>
    <row r="30" spans="1:24" x14ac:dyDescent="0.3">
      <c r="K30" s="31">
        <v>-80</v>
      </c>
      <c r="O30" s="22" t="s">
        <v>86</v>
      </c>
      <c r="P30" s="96"/>
      <c r="Q30" s="97"/>
    </row>
    <row r="31" spans="1:24" x14ac:dyDescent="0.3">
      <c r="K31" s="31">
        <v>-90</v>
      </c>
      <c r="O31" s="22" t="s">
        <v>28</v>
      </c>
      <c r="P31" s="96"/>
      <c r="Q31" s="97"/>
    </row>
    <row r="32" spans="1:24" x14ac:dyDescent="0.3">
      <c r="K32" s="31">
        <v>-100</v>
      </c>
      <c r="O32" s="22" t="s">
        <v>29</v>
      </c>
      <c r="P32" s="96"/>
      <c r="Q32" s="97"/>
    </row>
    <row r="34" spans="1:40" x14ac:dyDescent="0.3">
      <c r="K34" s="31"/>
      <c r="N34" s="30"/>
    </row>
    <row r="35" spans="1:40" x14ac:dyDescent="0.3">
      <c r="K35" s="31"/>
      <c r="P35" s="14" t="s">
        <v>70</v>
      </c>
      <c r="Q35" s="14" t="s">
        <v>69</v>
      </c>
    </row>
    <row r="36" spans="1:40" x14ac:dyDescent="0.3">
      <c r="K36" s="31"/>
      <c r="O36" s="46" t="s">
        <v>43</v>
      </c>
      <c r="P36" s="77">
        <v>0.01</v>
      </c>
      <c r="Q36" s="77">
        <v>0.25</v>
      </c>
    </row>
    <row r="37" spans="1:40" ht="5.45" customHeight="1" x14ac:dyDescent="0.3">
      <c r="K37" s="31"/>
    </row>
    <row r="38" spans="1:40" s="55" customFormat="1" ht="25.9" customHeight="1" x14ac:dyDescent="0.3">
      <c r="B38" s="56"/>
      <c r="D38" s="121" t="s">
        <v>1</v>
      </c>
      <c r="E38" s="121"/>
      <c r="F38" s="120" t="s">
        <v>55</v>
      </c>
      <c r="G38" s="120"/>
      <c r="H38" s="120" t="s">
        <v>54</v>
      </c>
      <c r="I38" s="120"/>
      <c r="J38" s="120" t="s">
        <v>7</v>
      </c>
      <c r="K38" s="120"/>
      <c r="N38" s="158" t="s">
        <v>95</v>
      </c>
      <c r="O38" s="159"/>
      <c r="P38" s="160">
        <v>400</v>
      </c>
      <c r="U38" s="40" t="s">
        <v>94</v>
      </c>
      <c r="V38" s="23">
        <f>AVERAGE(U40:V56,U46:V50)</f>
        <v>3755.1238298017688</v>
      </c>
      <c r="X38" s="143" t="s">
        <v>92</v>
      </c>
      <c r="Y38" s="77">
        <f>V38</f>
        <v>3755.1238298017688</v>
      </c>
      <c r="AB38" s="143" t="s">
        <v>93</v>
      </c>
      <c r="AC38" s="77"/>
      <c r="AF38" s="14"/>
      <c r="AI38" s="138" t="s">
        <v>83</v>
      </c>
      <c r="AJ38" s="138"/>
      <c r="AK38" s="138"/>
      <c r="AL38" s="138"/>
      <c r="AM38" s="138"/>
      <c r="AN38" s="138"/>
    </row>
    <row r="39" spans="1:40" ht="51.6" customHeight="1" x14ac:dyDescent="0.3">
      <c r="A39" s="53" t="s">
        <v>57</v>
      </c>
      <c r="B39" s="53" t="s">
        <v>56</v>
      </c>
      <c r="C39" s="53" t="s">
        <v>53</v>
      </c>
      <c r="D39" s="59" t="s">
        <v>8</v>
      </c>
      <c r="E39" s="60" t="s">
        <v>9</v>
      </c>
      <c r="F39" s="61" t="s">
        <v>8</v>
      </c>
      <c r="G39" s="61" t="s">
        <v>9</v>
      </c>
      <c r="H39" s="61" t="s">
        <v>8</v>
      </c>
      <c r="I39" s="61" t="s">
        <v>9</v>
      </c>
      <c r="J39" s="61" t="s">
        <v>8</v>
      </c>
      <c r="K39" s="62" t="s">
        <v>9</v>
      </c>
      <c r="L39" s="63" t="s">
        <v>58</v>
      </c>
      <c r="M39" s="87"/>
      <c r="N39" s="156" t="s">
        <v>82</v>
      </c>
      <c r="O39" s="156" t="s">
        <v>72</v>
      </c>
      <c r="P39" s="156" t="s">
        <v>73</v>
      </c>
      <c r="Q39" s="156" t="s">
        <v>70</v>
      </c>
      <c r="R39" s="156" t="s">
        <v>69</v>
      </c>
      <c r="U39" s="157" t="s">
        <v>90</v>
      </c>
      <c r="V39" s="157" t="s">
        <v>91</v>
      </c>
      <c r="W39" s="64"/>
      <c r="X39" s="64" t="s">
        <v>90</v>
      </c>
      <c r="Y39" s="64" t="s">
        <v>91</v>
      </c>
      <c r="AB39" s="64" t="s">
        <v>90</v>
      </c>
      <c r="AC39" s="64" t="s">
        <v>91</v>
      </c>
      <c r="AI39" s="14" t="s">
        <v>76</v>
      </c>
      <c r="AJ39" s="14" t="s">
        <v>77</v>
      </c>
      <c r="AK39" s="14" t="s">
        <v>80</v>
      </c>
      <c r="AL39" s="14" t="s">
        <v>79</v>
      </c>
      <c r="AM39" s="14" t="s">
        <v>81</v>
      </c>
      <c r="AN39" s="14" t="s">
        <v>78</v>
      </c>
    </row>
    <row r="40" spans="1:40" ht="12.75" customHeight="1" x14ac:dyDescent="0.3">
      <c r="A40" s="93" t="str">
        <f>IF(N40="","",IF(N40="","",INDEX(vis_Indication,MATCH(P40,Vis,0),2)-INDEX(vis_Indication,MATCH($P$38,Vis,0),2)))</f>
        <v/>
      </c>
      <c r="B40" s="54" t="str">
        <f t="shared" ref="B40:B47" si="0">IF(C40="","",C40/100*$H$14)</f>
        <v/>
      </c>
      <c r="C40" s="94" t="str">
        <f t="shared" ref="C40" si="1">IF(O40="","",O40)</f>
        <v/>
      </c>
      <c r="D40" s="132" t="str">
        <f>IF(Q40="","",Q40*$H$14/$H$13/100)</f>
        <v/>
      </c>
      <c r="E40" s="132" t="str">
        <f t="shared" ref="E40:E56" si="2">IF(R40="","",R40*$H$14/$H$13/100)</f>
        <v/>
      </c>
      <c r="F40" s="137" t="str">
        <f t="shared" ref="F40:F47" si="3">IF(OR(D40=0,D40=""),"",(D40*$H$13))</f>
        <v/>
      </c>
      <c r="G40" s="137" t="str">
        <f t="shared" ref="G40:G47" si="4">IF(OR(E40=0,E40=""),"",(E40*$H$13))</f>
        <v/>
      </c>
      <c r="H40" s="137" t="str">
        <f t="shared" ref="H40:H47" si="5">IF(F40="","",(F40-$A40)/$H$14)</f>
        <v/>
      </c>
      <c r="I40" s="137" t="str">
        <f t="shared" ref="I40:I47" si="6">IF(G40="","",(G40-$A40)/$H$14)</f>
        <v/>
      </c>
      <c r="J40" s="41" t="str">
        <f t="shared" ref="J40:J47" si="7">IF(F40=""," ",((F40-$A40)/B40)*100)</f>
        <v xml:space="preserve"> </v>
      </c>
      <c r="K40" s="41" t="str">
        <f t="shared" ref="K40:K47" si="8">IF(G40=""," ",((G40-$A40)/B40)*100)</f>
        <v xml:space="preserve"> </v>
      </c>
      <c r="L40" s="41" t="str">
        <f t="shared" ref="L40:L47" si="9">IF(F40=""," ",(ABS(J40)+ABS(K40)))</f>
        <v xml:space="preserve"> </v>
      </c>
      <c r="M40" s="88"/>
      <c r="N40" s="147" t="str">
        <f t="shared" ref="N40:N47" si="10">IF(O41&gt;MAX($W$24:$X$24)+$W$26,"",IF(MAX($W$24:$X$24)&gt;$X$25,IF(N41&lt;$X$25,N41+$X$25/5,ROUNDDOWN(N41+(MAX($W$24:$X$24)-MIN($W$24:$X$24))/3,1)),($X$24-$W$24)/5+N41))</f>
        <v/>
      </c>
      <c r="O40" s="149" t="str">
        <f>IF(N40="","",IF(N40="","",INDEX(vis_Indication,MATCH(P40,Vis,0),2)-INDEX(vis_Indication,MATCH($P$38,Vis,0),2))/$H$14*100)</f>
        <v/>
      </c>
      <c r="P40" s="148" t="str">
        <f>IF(N40="","",INDEX([0]!Vis,MATCH(ROUND(N40/100*$H$14/25.4*20*1000+$P$38,1),[0]!Vis,1)+IF(_xlfn.IFNA(MATCH(ROUND(N40/100*$H$14/25.4*20*1000+$P$38,1),[0]!Vis,0),0),0,1)))</f>
        <v/>
      </c>
      <c r="Q40" s="154"/>
      <c r="R40" s="155"/>
      <c r="U40" s="30" t="str">
        <f>IF(OR(Q40="",Q40=0),"",$O40*$P$26/Q40)</f>
        <v/>
      </c>
      <c r="V40" s="30" t="str">
        <f>IF(OR(R40="",R40=0),"",$O40*$P$26/R40)</f>
        <v/>
      </c>
      <c r="W40" s="141">
        <f t="shared" ref="W40:W56" si="11">IF(O40="",W41,O40)</f>
        <v>2.000249999999999</v>
      </c>
      <c r="X40" s="95" t="str">
        <f>IF(OR(Q40="",$Y$38=""),"",Q40*$Y$38/$P$26)</f>
        <v/>
      </c>
      <c r="Y40" s="95" t="str">
        <f>IF(OR(R40="",$Y$38=""),"",R40*$Y$38/$P$26)</f>
        <v/>
      </c>
      <c r="Z40" s="141" t="str">
        <f>IF(Q40="","",X40-$O40)</f>
        <v/>
      </c>
      <c r="AA40" s="141" t="str">
        <f>IF(R40="","",Y40-$O40)</f>
        <v/>
      </c>
      <c r="AB40" s="95" t="str">
        <f>IF(OR(Q40="",$AC$38=""),"",IF(X40&gt;0,X40*$AC$38/$P$27,X40))</f>
        <v/>
      </c>
      <c r="AC40" s="95" t="str">
        <f>IF(OR(R40="",$AC$38=""),"",IF(Y40&gt;0,Y40*$AC$38/$P$27,Y40))</f>
        <v/>
      </c>
      <c r="AD40" s="141" t="str">
        <f>IF(OR(U40="",$AC$38=""),"",AB40-$O40)</f>
        <v/>
      </c>
      <c r="AE40" s="141" t="str">
        <f t="shared" ref="AE40:AE56" si="12">IF(OR(V40="",$AC$38=""),"",AC40-$O40)</f>
        <v/>
      </c>
      <c r="AF40" s="142" t="str">
        <f>IF(N40="","",O40*0.05)</f>
        <v/>
      </c>
      <c r="AG40" s="142" t="str">
        <f>IF(N40="","",O40*-0.05)</f>
        <v/>
      </c>
      <c r="AH40" s="19"/>
      <c r="AI40" s="149">
        <f>IF(AN41&gt;MAX($W$24:$X$24)+$W$26,"",IF(MAX($W$24:$X$24)&gt;$X$25,IF(AI41&lt;$X$25,AI41+$X$25/5,ROUNDDOWN(AI41+(MAX($W$24:$X$24)-MIN($W$24:$X$24))/3,1)),MAX($W$24:$X$24)/5+AI41))</f>
        <v>1.5999999999999999</v>
      </c>
      <c r="AJ40" s="19">
        <f>IF(AI40="","",AI40*$H$14/100)</f>
        <v>0.192</v>
      </c>
      <c r="AK40" s="71">
        <f>IF(AI40="","",ROUND(AI40/100*$H$14/25.4*20*1000+$P$38,1))</f>
        <v>551.20000000000005</v>
      </c>
      <c r="AL40" s="14">
        <f>IF(AI40="","",INDEX([0]!Vis,MATCH(AK40,[0]!Vis,1)+IF(_xlfn.IFNA(MATCH(AK40,[0]!Vis,0),0),0,1)))</f>
        <v>589</v>
      </c>
      <c r="AM40" s="14">
        <f>IF(AI40="","",INDEX(vis_Indication,MATCH(AL40,Vis,0),2)-INDEX(vis_Indication,MATCH($P$38,Vis,0),2))</f>
        <v>0.24002999999999985</v>
      </c>
      <c r="AN40" s="14">
        <f>IF(AI40="","",AM40/$H$14*100)</f>
        <v>2.000249999999999</v>
      </c>
    </row>
    <row r="41" spans="1:40" ht="12.75" customHeight="1" x14ac:dyDescent="0.3">
      <c r="A41" s="93" t="str">
        <f>IF(N41="","",IF(N41="","",INDEX(vis_Indication,MATCH(P41,Vis,0),2)-INDEX(vis_Indication,MATCH($P$38,Vis,0),2)))</f>
        <v/>
      </c>
      <c r="B41" s="54" t="str">
        <f t="shared" si="0"/>
        <v/>
      </c>
      <c r="C41" s="94" t="str">
        <f>IF(O41="","",O41)</f>
        <v/>
      </c>
      <c r="D41" s="133" t="str">
        <f t="shared" ref="D41:D55" si="13">IF(Q41="","",Q41*$H$14/$H$13/100)</f>
        <v/>
      </c>
      <c r="E41" s="134" t="str">
        <f t="shared" si="2"/>
        <v/>
      </c>
      <c r="F41" s="137" t="str">
        <f t="shared" si="3"/>
        <v/>
      </c>
      <c r="G41" s="137" t="str">
        <f t="shared" si="4"/>
        <v/>
      </c>
      <c r="H41" s="137" t="str">
        <f t="shared" si="5"/>
        <v/>
      </c>
      <c r="I41" s="137" t="str">
        <f t="shared" si="6"/>
        <v/>
      </c>
      <c r="J41" s="41" t="str">
        <f t="shared" si="7"/>
        <v xml:space="preserve"> </v>
      </c>
      <c r="K41" s="41" t="str">
        <f t="shared" si="8"/>
        <v xml:space="preserve"> </v>
      </c>
      <c r="L41" s="41" t="str">
        <f t="shared" si="9"/>
        <v xml:space="preserve"> </v>
      </c>
      <c r="M41" s="88"/>
      <c r="N41" s="147" t="str">
        <f t="shared" si="10"/>
        <v/>
      </c>
      <c r="O41" s="149" t="str">
        <f>IF(N41="","",IF(N41="","",INDEX(vis_Indication,MATCH(P41,Vis,0),2)-INDEX(vis_Indication,MATCH($P$38,Vis,0),2))/$H$14*100)</f>
        <v/>
      </c>
      <c r="P41" s="148" t="str">
        <f>IF(N41="","",INDEX([0]!Vis,MATCH(ROUND(N41/100*$H$14/25.4*20*1000+$P$38,1),[0]!Vis,1)+IF(_xlfn.IFNA(MATCH(ROUND(N41/100*$H$14/25.4*20*1000+$P$38,1),[0]!Vis,0),0),0,1)))</f>
        <v/>
      </c>
      <c r="Q41" s="77"/>
      <c r="R41" s="144"/>
      <c r="U41" s="30" t="str">
        <f>IF(OR(Q41="",Q41=0),"",$O41*$P$26/Q41)</f>
        <v/>
      </c>
      <c r="V41" s="30" t="str">
        <f>IF(OR(R41="",R41=0),"",$O41*$P$26/R41)</f>
        <v/>
      </c>
      <c r="W41" s="141">
        <f t="shared" si="11"/>
        <v>2.000249999999999</v>
      </c>
      <c r="X41" s="95" t="str">
        <f>IF(OR(Q41="",$Y$38=""),"",Q41*$Y$38/$P$26)</f>
        <v/>
      </c>
      <c r="Y41" s="95" t="str">
        <f>IF(OR(R41="",$Y$38=""),"",R41*$Y$38/$P$26)</f>
        <v/>
      </c>
      <c r="Z41" s="141" t="str">
        <f t="shared" ref="Z41:Z56" si="14">IF(Q41="","",X41-$O41)</f>
        <v/>
      </c>
      <c r="AA41" s="141" t="str">
        <f t="shared" ref="AA40:AA56" si="15">IF(R41="","",Y41-$O41)</f>
        <v/>
      </c>
      <c r="AB41" s="95" t="str">
        <f>IF(OR(Q41="",$AC$38=""),"",IF(X41&gt;0,X41*$AC$38/$P$27,X41))</f>
        <v/>
      </c>
      <c r="AC41" s="95" t="str">
        <f>IF(OR(R41="",$AC$38=""),"",IF(Y41&gt;0,Y41*$AC$38/$P$27,Y41))</f>
        <v/>
      </c>
      <c r="AD41" s="141" t="str">
        <f t="shared" ref="AD41:AD56" si="16">IF(OR(U41="",$AC$38=""),"",AB41-$O41)</f>
        <v/>
      </c>
      <c r="AE41" s="141" t="str">
        <f t="shared" si="12"/>
        <v/>
      </c>
      <c r="AF41" s="142" t="str">
        <f t="shared" ref="AF41:AF55" si="17">IF(N41="","",O41*0.05)</f>
        <v/>
      </c>
      <c r="AG41" s="142" t="str">
        <f t="shared" ref="AG41:AG55" si="18">IF(N41="","",O41*-0.05)</f>
        <v/>
      </c>
      <c r="AH41" s="19"/>
      <c r="AI41" s="149">
        <f t="shared" ref="AI41:AI47" si="19">IF(AN42&gt;MAX($W$24:$X$24)+$W$26,"",IF(MAX($W$24:$X$24)&gt;$X$25,IF(AI42&lt;$X$25,AI42+$X$25/5,ROUNDDOWN(AI42+(MAX($W$24:$X$24)-MIN($W$24:$X$24))/3,1)),MAX($W$24:$X$24)/5+AI42))</f>
        <v>1.4</v>
      </c>
      <c r="AJ41" s="19">
        <f t="shared" ref="AJ41:AJ47" si="20">IF(AI41="","",AI41*$H$14/100)</f>
        <v>0.16799999999999998</v>
      </c>
      <c r="AK41" s="71">
        <f>IF(AI41="","",ROUND(AI41/100*$H$14/25.4*20*1000+$P$38,1))</f>
        <v>532.29999999999995</v>
      </c>
      <c r="AL41" s="14">
        <f>IF(AI41="","",INDEX([0]!Vis,MATCH(AK41,[0]!Vis,1)+IF(_xlfn.IFNA(MATCH(AK41,[0]!Vis,0),0),0,1)))</f>
        <v>541.70000000000005</v>
      </c>
      <c r="AM41" s="14">
        <f>IF(AI41="","",INDEX(vis_Indication,MATCH(AL41,Vis,0),2)-INDEX(vis_Indication,MATCH($P$38,Vis,0),2))</f>
        <v>0.17995899999999998</v>
      </c>
      <c r="AN41" s="14">
        <f>IF(AI41="","",AM41/$H$14*100)</f>
        <v>1.4996583333333333</v>
      </c>
    </row>
    <row r="42" spans="1:40" ht="12.75" customHeight="1" x14ac:dyDescent="0.3">
      <c r="A42" s="93" t="str">
        <f>IF(N42="","",IF(N42="","",INDEX(vis_Indication,MATCH(P42,Vis,0),2)-INDEX(vis_Indication,MATCH($P$38,Vis,0),2)))</f>
        <v/>
      </c>
      <c r="B42" s="54" t="str">
        <f>IF(C42="","",C42/100*$H$14)</f>
        <v/>
      </c>
      <c r="C42" s="94" t="str">
        <f t="shared" ref="C42:C57" si="21">IF(O42="","",O42)</f>
        <v/>
      </c>
      <c r="D42" s="133" t="str">
        <f t="shared" si="13"/>
        <v/>
      </c>
      <c r="E42" s="134" t="str">
        <f t="shared" si="2"/>
        <v/>
      </c>
      <c r="F42" s="137" t="str">
        <f t="shared" si="3"/>
        <v/>
      </c>
      <c r="G42" s="137" t="str">
        <f t="shared" si="4"/>
        <v/>
      </c>
      <c r="H42" s="137" t="str">
        <f t="shared" si="5"/>
        <v/>
      </c>
      <c r="I42" s="137" t="str">
        <f t="shared" si="6"/>
        <v/>
      </c>
      <c r="J42" s="41" t="str">
        <f t="shared" si="7"/>
        <v xml:space="preserve"> </v>
      </c>
      <c r="K42" s="41" t="str">
        <f t="shared" si="8"/>
        <v xml:space="preserve"> </v>
      </c>
      <c r="L42" s="41" t="str">
        <f t="shared" si="9"/>
        <v xml:space="preserve"> </v>
      </c>
      <c r="M42" s="88"/>
      <c r="N42" s="147" t="str">
        <f>IF(O43&gt;MAX($W$24:$X$24)+$W$26,"",IF(MAX($W$24:$X$24)&gt;$X$25,IF(N43&lt;$X$25,N43+$X$25/5,ROUNDDOWN(N43+(MAX($W$24:$X$24)-MIN($W$24:$X$24))/3,1)),($X$24-$W$24)/5+N43))</f>
        <v/>
      </c>
      <c r="O42" s="149" t="str">
        <f>IF(N42="","",IF(N42="","",INDEX(vis_Indication,MATCH(P42,Vis,0),2)-INDEX(vis_Indication,MATCH($P$38,Vis,0),2))/$H$14*100)</f>
        <v/>
      </c>
      <c r="P42" s="148" t="str">
        <f>IF(N42="","",INDEX([0]!Vis,MATCH(ROUND(N42/100*$H$14/25.4*20*1000+$P$38,1),[0]!Vis,1)+IF(_xlfn.IFNA(MATCH(ROUND(N42/100*$H$14/25.4*20*1000+$P$38,1),[0]!Vis,0),0),0,1)))</f>
        <v/>
      </c>
      <c r="Q42" s="77"/>
      <c r="R42" s="144"/>
      <c r="U42" s="30" t="str">
        <f>IF(OR(Q42="",Q42=0),"",$O42*$P$26/Q42)</f>
        <v/>
      </c>
      <c r="V42" s="30" t="str">
        <f>IF(OR(R42="",R42=0),"",$O42*$P$26/R42)</f>
        <v/>
      </c>
      <c r="W42" s="141">
        <f t="shared" si="11"/>
        <v>2.000249999999999</v>
      </c>
      <c r="X42" s="95" t="str">
        <f>IF(OR(Q42="",$Y$38=""),"",Q42*$Y$38/$P$26)</f>
        <v/>
      </c>
      <c r="Y42" s="95" t="str">
        <f>IF(OR(R42="",$Y$38=""),"",R42*$Y$38/$P$26)</f>
        <v/>
      </c>
      <c r="Z42" s="141" t="str">
        <f t="shared" si="14"/>
        <v/>
      </c>
      <c r="AA42" s="141" t="str">
        <f t="shared" si="15"/>
        <v/>
      </c>
      <c r="AB42" s="95" t="str">
        <f>IF(OR(Q42="",$AC$38=""),"",IF(X42&gt;0,X42*$AC$38/$P$27,X42))</f>
        <v/>
      </c>
      <c r="AC42" s="95" t="str">
        <f>IF(OR(R42="",$AC$38=""),"",IF(Y42&gt;0,Y42*$AC$38/$P$27,Y42))</f>
        <v/>
      </c>
      <c r="AD42" s="141" t="str">
        <f>IF(OR(U42="",$AC$38=""),"",AB42-$O42)</f>
        <v/>
      </c>
      <c r="AE42" s="141" t="str">
        <f t="shared" si="12"/>
        <v/>
      </c>
      <c r="AF42" s="142" t="str">
        <f t="shared" si="17"/>
        <v/>
      </c>
      <c r="AG42" s="142" t="str">
        <f t="shared" si="18"/>
        <v/>
      </c>
      <c r="AH42" s="19"/>
      <c r="AI42" s="149">
        <f t="shared" si="19"/>
        <v>1.2</v>
      </c>
      <c r="AJ42" s="19">
        <f t="shared" si="20"/>
        <v>0.14399999999999999</v>
      </c>
      <c r="AK42" s="71">
        <f>IF(AI42="","",ROUND(AI42/100*$H$14/25.4*20*1000+$P$38,1))</f>
        <v>513.4</v>
      </c>
      <c r="AL42" s="14">
        <f>IF(AI42="","",INDEX([0]!Vis,MATCH(AK42,[0]!Vis,1)+IF(_xlfn.IFNA(MATCH(AK42,[0]!Vis,0),0),0,1)))</f>
        <v>541.70000000000005</v>
      </c>
      <c r="AM42" s="14">
        <f>IF(AI42="","",INDEX(vis_Indication,MATCH(AL42,Vis,0),2)-INDEX(vis_Indication,MATCH($P$38,Vis,0),2))</f>
        <v>0.17995899999999998</v>
      </c>
      <c r="AN42" s="95">
        <f t="shared" ref="AN42:AN47" si="22">IF(AI42="","",AM42/$H$14*100)</f>
        <v>1.4996583333333333</v>
      </c>
    </row>
    <row r="43" spans="1:40" ht="12.75" customHeight="1" x14ac:dyDescent="0.3">
      <c r="A43" s="93" t="str">
        <f>IF(N43="","",IF(N43="","",INDEX(vis_Indication,MATCH(P43,Vis,0),2)-INDEX(vis_Indication,MATCH($P$38,Vis,0),2)))</f>
        <v/>
      </c>
      <c r="B43" s="54" t="str">
        <f t="shared" si="0"/>
        <v/>
      </c>
      <c r="C43" s="94" t="str">
        <f t="shared" si="21"/>
        <v/>
      </c>
      <c r="D43" s="133" t="str">
        <f t="shared" si="13"/>
        <v/>
      </c>
      <c r="E43" s="134" t="str">
        <f t="shared" si="2"/>
        <v/>
      </c>
      <c r="F43" s="137" t="str">
        <f t="shared" si="3"/>
        <v/>
      </c>
      <c r="G43" s="137" t="str">
        <f t="shared" si="4"/>
        <v/>
      </c>
      <c r="H43" s="137" t="str">
        <f t="shared" si="5"/>
        <v/>
      </c>
      <c r="I43" s="137" t="str">
        <f t="shared" si="6"/>
        <v/>
      </c>
      <c r="J43" s="41" t="str">
        <f t="shared" si="7"/>
        <v xml:space="preserve"> </v>
      </c>
      <c r="K43" s="41" t="str">
        <f t="shared" si="8"/>
        <v xml:space="preserve"> </v>
      </c>
      <c r="L43" s="41" t="str">
        <f t="shared" si="9"/>
        <v xml:space="preserve"> </v>
      </c>
      <c r="M43" s="88"/>
      <c r="N43" s="147" t="str">
        <f t="shared" ref="N43:N47" si="23">IF(O44&gt;MAX($W$24:$X$24)+$W$26,"",IF(MAX($W$24:$X$24)&gt;$X$25,IF(N44&lt;$X$25,N44+$X$25/5,ROUNDDOWN(N44+(MAX($W$24:$X$24)-MIN($W$24:$X$24))/3,1)),($X$24-$W$24)/5+N44))</f>
        <v/>
      </c>
      <c r="O43" s="149" t="str">
        <f>IF(N43="","",IF(N43="","",INDEX(vis_Indication,MATCH(P43,Vis,0),2)-INDEX(vis_Indication,MATCH($P$38,Vis,0),2))/$H$14*100)</f>
        <v/>
      </c>
      <c r="P43" s="148" t="str">
        <f>IF(N43="","",INDEX([0]!Vis,MATCH(ROUND(N43/100*$H$14/25.4*20*1000+$P$38,1),[0]!Vis,1)+IF(_xlfn.IFNA(MATCH(ROUND(N43/100*$H$14/25.4*20*1000+$P$38,1),[0]!Vis,0),0),0,1)))</f>
        <v/>
      </c>
      <c r="Q43" s="77"/>
      <c r="R43" s="144"/>
      <c r="U43" s="30" t="str">
        <f>IF(OR(Q43="",Q43=0),"",$O43*$P$26/Q43)</f>
        <v/>
      </c>
      <c r="V43" s="30" t="str">
        <f>IF(OR(R43="",R43=0),"",$O43*$P$26/R43)</f>
        <v/>
      </c>
      <c r="W43" s="141">
        <f t="shared" si="11"/>
        <v>2.000249999999999</v>
      </c>
      <c r="X43" s="95" t="str">
        <f>IF(OR(Q43="",$Y$38=""),"",Q43*$Y$38/$P$26)</f>
        <v/>
      </c>
      <c r="Y43" s="95" t="str">
        <f>IF(OR(R43="",$Y$38=""),"",R43*$Y$38/$P$26)</f>
        <v/>
      </c>
      <c r="Z43" s="141" t="str">
        <f t="shared" si="14"/>
        <v/>
      </c>
      <c r="AA43" s="141" t="str">
        <f t="shared" si="15"/>
        <v/>
      </c>
      <c r="AB43" s="95" t="str">
        <f>IF(OR(Q43="",$AC$38=""),"",IF(X43&gt;0,X43*$AC$38/$P$27,X43))</f>
        <v/>
      </c>
      <c r="AC43" s="95" t="str">
        <f>IF(OR(R43="",$AC$38=""),"",IF(Y43&gt;0,Y43*$AC$38/$P$27,Y43))</f>
        <v/>
      </c>
      <c r="AD43" s="141" t="str">
        <f t="shared" si="16"/>
        <v/>
      </c>
      <c r="AE43" s="141" t="str">
        <f t="shared" si="12"/>
        <v/>
      </c>
      <c r="AF43" s="142" t="str">
        <f t="shared" si="17"/>
        <v/>
      </c>
      <c r="AG43" s="142" t="str">
        <f t="shared" si="18"/>
        <v/>
      </c>
      <c r="AH43" s="19"/>
      <c r="AI43" s="149">
        <f t="shared" si="19"/>
        <v>1</v>
      </c>
      <c r="AJ43" s="19">
        <f t="shared" si="20"/>
        <v>0.12</v>
      </c>
      <c r="AK43" s="71">
        <f>IF(AI43="","",ROUND(AI43/100*$H$14/25.4*20*1000+$P$38,1))</f>
        <v>494.5</v>
      </c>
      <c r="AL43" s="14">
        <f>IF(AI43="","",INDEX([0]!Vis,MATCH(AK43,[0]!Vis,1)+IF(_xlfn.IFNA(MATCH(AK43,[0]!Vis,0),0),0,1)))</f>
        <v>494.5</v>
      </c>
      <c r="AM43" s="14">
        <f>IF(AI43="","",INDEX(vis_Indication,MATCH(AL43,Vis,0),2)-INDEX(vis_Indication,MATCH($P$38,Vis,0),2))</f>
        <v>0.12001499999999998</v>
      </c>
      <c r="AN43" s="95">
        <f t="shared" si="22"/>
        <v>1.0001249999999997</v>
      </c>
    </row>
    <row r="44" spans="1:40" ht="12.75" customHeight="1" x14ac:dyDescent="0.3">
      <c r="A44" s="93">
        <f>IF(N44="","",IF(N44="","",INDEX(vis_Indication,MATCH(P44,Vis,0),2)-INDEX(vis_Indication,MATCH($P$38,Vis,0),2)))</f>
        <v>0.24002999999999985</v>
      </c>
      <c r="B44" s="54">
        <f t="shared" si="0"/>
        <v>0.24002999999999985</v>
      </c>
      <c r="C44" s="94">
        <f t="shared" si="21"/>
        <v>2.000249999999999</v>
      </c>
      <c r="D44" s="133">
        <f t="shared" si="13"/>
        <v>2.0099999999999998</v>
      </c>
      <c r="E44" s="134">
        <f t="shared" si="2"/>
        <v>1.9902499999999994</v>
      </c>
      <c r="F44" s="137">
        <f t="shared" si="3"/>
        <v>0.12059999999999998</v>
      </c>
      <c r="G44" s="137">
        <f t="shared" si="4"/>
        <v>0.11941499999999997</v>
      </c>
      <c r="H44" s="137">
        <f t="shared" si="5"/>
        <v>-9.9524999999999891E-3</v>
      </c>
      <c r="I44" s="137">
        <f t="shared" si="6"/>
        <v>-1.0051249999999991E-2</v>
      </c>
      <c r="J44" s="41">
        <f t="shared" si="7"/>
        <v>-49.75628046494186</v>
      </c>
      <c r="K44" s="41">
        <f t="shared" si="8"/>
        <v>-50.249968753905748</v>
      </c>
      <c r="L44" s="41">
        <f t="shared" si="9"/>
        <v>100.00624921884761</v>
      </c>
      <c r="M44" s="88"/>
      <c r="N44" s="147">
        <f t="shared" si="23"/>
        <v>1.6</v>
      </c>
      <c r="O44" s="149">
        <f>IF(N44="","",IF(N44="","",INDEX(vis_Indication,MATCH(P44,Vis,0),2)-INDEX(vis_Indication,MATCH($P$38,Vis,0),2))/$H$14*100)</f>
        <v>2.000249999999999</v>
      </c>
      <c r="P44" s="148">
        <f>IF(N44="","",INDEX([0]!Vis,MATCH(ROUND(N44/100*$H$14/25.4*20*1000+$P$38,1),[0]!Vis,1)+IF(_xlfn.IFNA(MATCH(ROUND(N44/100*$H$14/25.4*20*1000+$P$38,1),[0]!Vis,0),0),0,1)))</f>
        <v>589</v>
      </c>
      <c r="Q44" s="77">
        <v>1.0049999999999999</v>
      </c>
      <c r="R44" s="144">
        <v>0.9951249999999997</v>
      </c>
      <c r="U44" s="30">
        <f>IF(OR(Q44="",Q44=0),"",$O44*$P$26/Q44)</f>
        <v>4417.6267611940275</v>
      </c>
      <c r="V44" s="30">
        <f>IF(OR(R44="",R44=0),"",$O44*$P$26/R44)</f>
        <v>4461.4645346062043</v>
      </c>
      <c r="W44" s="141">
        <f>IF(O44="",W45,O44)</f>
        <v>2.000249999999999</v>
      </c>
      <c r="X44" s="95">
        <f>IF(OR(Q44="",$Y$38=""),"",Q44*$Y$38/$P$26)</f>
        <v>1.7002763806444361</v>
      </c>
      <c r="Y44" s="95">
        <f>IF(OR(R44="",$Y$38=""),"",R44*$Y$38/$P$26)</f>
        <v>1.6835696848644717</v>
      </c>
      <c r="Z44" s="141">
        <f t="shared" si="14"/>
        <v>-0.29997361935556288</v>
      </c>
      <c r="AA44" s="141">
        <f t="shared" si="15"/>
        <v>-0.3166803151355273</v>
      </c>
      <c r="AB44" s="95" t="str">
        <f>IF(OR(Q44="",$AC$38=""),"",IF(X44&gt;0,X44*$AC$38/$P$27,X44))</f>
        <v/>
      </c>
      <c r="AC44" s="95" t="str">
        <f>IF(OR(R44="",$AC$38=""),"",IF(Y44&gt;0,Y44*$AC$38/$P$27,Y44))</f>
        <v/>
      </c>
      <c r="AD44" s="141" t="str">
        <f t="shared" si="16"/>
        <v/>
      </c>
      <c r="AE44" s="141" t="str">
        <f t="shared" si="12"/>
        <v/>
      </c>
      <c r="AF44" s="142">
        <f t="shared" si="17"/>
        <v>0.10001249999999995</v>
      </c>
      <c r="AG44" s="142">
        <f t="shared" si="18"/>
        <v>-0.10001249999999995</v>
      </c>
      <c r="AH44" s="19"/>
      <c r="AI44" s="149">
        <f t="shared" si="19"/>
        <v>0.8</v>
      </c>
      <c r="AJ44" s="19">
        <f t="shared" si="20"/>
        <v>9.6000000000000016E-2</v>
      </c>
      <c r="AK44" s="71">
        <f>IF(AI44="","",ROUND(AI44/100*$H$14/25.4*20*1000+$P$38,1))</f>
        <v>475.6</v>
      </c>
      <c r="AL44" s="14">
        <f>IF(AI44="","",INDEX([0]!Vis,MATCH(AK44,[0]!Vis,1)+IF(_xlfn.IFNA(MATCH(AK44,[0]!Vis,0),0),0,1)))</f>
        <v>494.5</v>
      </c>
      <c r="AM44" s="14">
        <f>IF(AI44="","",INDEX(vis_Indication,MATCH(AL44,Vis,0),2)-INDEX(vis_Indication,MATCH($P$38,Vis,0),2))</f>
        <v>0.12001499999999998</v>
      </c>
      <c r="AN44" s="95">
        <f t="shared" si="22"/>
        <v>1.0001249999999997</v>
      </c>
    </row>
    <row r="45" spans="1:40" ht="12.75" customHeight="1" x14ac:dyDescent="0.3">
      <c r="A45" s="93">
        <f>IF(N45="","",IF(N45="","",INDEX(vis_Indication,MATCH(P45,Vis,0),2)-INDEX(vis_Indication,MATCH($P$38,Vis,0),2)))</f>
        <v>0.17995899999999998</v>
      </c>
      <c r="B45" s="54">
        <f t="shared" si="0"/>
        <v>0.17995900000000001</v>
      </c>
      <c r="C45" s="94">
        <f t="shared" si="21"/>
        <v>1.4996583333333333</v>
      </c>
      <c r="D45" s="133">
        <f t="shared" si="13"/>
        <v>1.9822499999999994</v>
      </c>
      <c r="E45" s="134">
        <f t="shared" si="2"/>
        <v>1.9902499999999994</v>
      </c>
      <c r="F45" s="137">
        <f t="shared" si="3"/>
        <v>0.11893499999999996</v>
      </c>
      <c r="G45" s="137">
        <f t="shared" si="4"/>
        <v>0.11941499999999997</v>
      </c>
      <c r="H45" s="137">
        <f t="shared" si="5"/>
        <v>-5.0853333333333349E-3</v>
      </c>
      <c r="I45" s="137">
        <f t="shared" si="6"/>
        <v>-5.0453333333333348E-3</v>
      </c>
      <c r="J45" s="41">
        <f t="shared" si="7"/>
        <v>-33.909946154401851</v>
      </c>
      <c r="K45" s="41">
        <f t="shared" si="8"/>
        <v>-33.643218733155891</v>
      </c>
      <c r="L45" s="41">
        <f t="shared" si="9"/>
        <v>67.553164887557742</v>
      </c>
      <c r="M45" s="88"/>
      <c r="N45" s="147">
        <f t="shared" si="23"/>
        <v>1.2000000000000002</v>
      </c>
      <c r="O45" s="149">
        <f>IF(N45="","",IF(N45="","",INDEX(vis_Indication,MATCH(P45,Vis,0),2)-INDEX(vis_Indication,MATCH($P$38,Vis,0),2))/$H$14*100)</f>
        <v>1.4996583333333333</v>
      </c>
      <c r="P45" s="148">
        <f>IF(N45="","",INDEX([0]!Vis,MATCH(ROUND(N45/100*$H$14/25.4*20*1000+$P$38,1),[0]!Vis,1)+IF(_xlfn.IFNA(MATCH(ROUND(N45/100*$H$14/25.4*20*1000+$P$38,1),[0]!Vis,0),0),0,1)))</f>
        <v>541.70000000000005</v>
      </c>
      <c r="Q45" s="77">
        <v>0.9911249999999997</v>
      </c>
      <c r="R45" s="144">
        <v>0.9951249999999997</v>
      </c>
      <c r="U45" s="30">
        <f>IF(OR(Q45="",Q45=0),"",$O45*$P$26/Q45)</f>
        <v>3358.4175996973145</v>
      </c>
      <c r="V45" s="30">
        <f>IF(OR(R45="",R45=0),"",$O45*$P$26/R45)</f>
        <v>3344.9181193317431</v>
      </c>
      <c r="W45" s="141">
        <f t="shared" ref="W45:W56" si="24">IF(O45="",W46,O45)</f>
        <v>1.4996583333333333</v>
      </c>
      <c r="X45" s="95">
        <f>IF(OR(Q45="",$Y$38=""),"",Q45*$Y$38/$P$26)</f>
        <v>1.6768024156877774</v>
      </c>
      <c r="Y45" s="95">
        <f>IF(OR(R45="",$Y$38=""),"",R45*$Y$38/$P$26)</f>
        <v>1.6835696848644717</v>
      </c>
      <c r="Z45" s="141">
        <f t="shared" si="14"/>
        <v>0.17714408235444412</v>
      </c>
      <c r="AA45" s="141">
        <f t="shared" si="15"/>
        <v>0.18391135153113836</v>
      </c>
      <c r="AB45" s="95" t="str">
        <f>IF(OR(Q45="",$AC$38=""),"",IF(X45&gt;0,X45*$AC$38/$P$27,X45))</f>
        <v/>
      </c>
      <c r="AC45" s="95" t="str">
        <f>IF(OR(R45="",$AC$38=""),"",IF(Y45&gt;0,Y45*$AC$38/$P$27,Y45))</f>
        <v/>
      </c>
      <c r="AD45" s="141" t="str">
        <f t="shared" si="16"/>
        <v/>
      </c>
      <c r="AE45" s="141" t="str">
        <f t="shared" si="12"/>
        <v/>
      </c>
      <c r="AF45" s="142">
        <f t="shared" si="17"/>
        <v>7.4982916666666677E-2</v>
      </c>
      <c r="AG45" s="142">
        <f t="shared" si="18"/>
        <v>-7.4982916666666677E-2</v>
      </c>
      <c r="AH45" s="19"/>
      <c r="AI45" s="149">
        <f t="shared" si="19"/>
        <v>0.60000000000000009</v>
      </c>
      <c r="AJ45" s="19">
        <f t="shared" si="20"/>
        <v>7.2000000000000008E-2</v>
      </c>
      <c r="AK45" s="71">
        <f>IF(AI45="","",ROUND(AI45/100*$H$14/25.4*20*1000+$P$38,1))</f>
        <v>456.7</v>
      </c>
      <c r="AL45" s="14">
        <f>IF(AI45="","",INDEX([0]!Vis,MATCH(AK45,[0]!Vis,1)+IF(_xlfn.IFNA(MATCH(AK45,[0]!Vis,0),0),0,1)))</f>
        <v>494.5</v>
      </c>
      <c r="AM45" s="14">
        <f>IF(AI45="","",INDEX(vis_Indication,MATCH(AL45,Vis,0),2)-INDEX(vis_Indication,MATCH($P$38,Vis,0),2))</f>
        <v>0.12001499999999998</v>
      </c>
      <c r="AN45" s="95">
        <f t="shared" si="22"/>
        <v>1.0001249999999997</v>
      </c>
    </row>
    <row r="46" spans="1:40" ht="12.75" customHeight="1" x14ac:dyDescent="0.3">
      <c r="A46" s="93">
        <f>IF(N46="","",IF(N46="","",INDEX(vis_Indication,MATCH(P46,Vis,0),2)-INDEX(vis_Indication,MATCH($P$38,Vis,0),2)))</f>
        <v>0.12001499999999998</v>
      </c>
      <c r="B46" s="54">
        <f t="shared" si="0"/>
        <v>0.12001499999999996</v>
      </c>
      <c r="C46" s="94">
        <f t="shared" si="21"/>
        <v>1.0001249999999997</v>
      </c>
      <c r="D46" s="133">
        <f t="shared" si="13"/>
        <v>1.0010666666666665</v>
      </c>
      <c r="E46" s="134">
        <f t="shared" si="2"/>
        <v>1.0050666666666666</v>
      </c>
      <c r="F46" s="137">
        <f t="shared" si="3"/>
        <v>6.0063999999999992E-2</v>
      </c>
      <c r="G46" s="137">
        <f t="shared" si="4"/>
        <v>6.030399999999999E-2</v>
      </c>
      <c r="H46" s="137">
        <f t="shared" si="5"/>
        <v>-4.9959166666666659E-3</v>
      </c>
      <c r="I46" s="137">
        <f t="shared" si="6"/>
        <v>-4.9759166666666658E-3</v>
      </c>
      <c r="J46" s="41">
        <f t="shared" si="7"/>
        <v>-49.952922551347761</v>
      </c>
      <c r="K46" s="41">
        <f t="shared" si="8"/>
        <v>-49.752947548223155</v>
      </c>
      <c r="L46" s="41">
        <f t="shared" si="9"/>
        <v>99.705870099570916</v>
      </c>
      <c r="M46" s="88"/>
      <c r="N46" s="147">
        <f t="shared" si="23"/>
        <v>0.8</v>
      </c>
      <c r="O46" s="149">
        <f>IF(N46="","",IF(N46="","",INDEX(vis_Indication,MATCH(P46,Vis,0),2)-INDEX(vis_Indication,MATCH($P$38,Vis,0),2))/$H$14*100)</f>
        <v>1.0001249999999997</v>
      </c>
      <c r="P46" s="148">
        <f>IF(N46="","",INDEX([0]!Vis,MATCH(ROUND(N46/100*$H$14/25.4*20*1000+$P$38,1),[0]!Vis,1)+IF(_xlfn.IFNA(MATCH(ROUND(N46/100*$H$14/25.4*20*1000+$P$38,1),[0]!Vis,0),0),0,1)))</f>
        <v>494.5</v>
      </c>
      <c r="Q46" s="77">
        <v>0.50053333333333327</v>
      </c>
      <c r="R46" s="144">
        <v>0.50253333333333328</v>
      </c>
      <c r="U46" s="30">
        <f>IF(OR(Q46="",Q46=0),"",$O46*$P$26/Q46)</f>
        <v>4434.9842451385175</v>
      </c>
      <c r="V46" s="30">
        <f>IF(OR(R46="",R46=0),"",$O46*$P$26/R46)</f>
        <v>4417.3337373971863</v>
      </c>
      <c r="W46" s="141">
        <f t="shared" si="24"/>
        <v>1.0001249999999997</v>
      </c>
      <c r="X46" s="95">
        <f>IF(OR(Q46="",$Y$38=""),"",Q46*$Y$38/$P$26)</f>
        <v>0.84681094964367665</v>
      </c>
      <c r="Y46" s="95">
        <f>IF(OR(R46="",$Y$38=""),"",R46*$Y$38/$P$26)</f>
        <v>0.85019458423202388</v>
      </c>
      <c r="Z46" s="141">
        <f t="shared" si="14"/>
        <v>-0.15331405035632306</v>
      </c>
      <c r="AA46" s="141">
        <f t="shared" si="15"/>
        <v>-0.14993041576797583</v>
      </c>
      <c r="AB46" s="95" t="str">
        <f>IF(OR(Q46="",$AC$38=""),"",IF(X46&gt;0,X46*$AC$38/$P$27,X46))</f>
        <v/>
      </c>
      <c r="AC46" s="95" t="str">
        <f>IF(OR(R46="",$AC$38=""),"",IF(Y46&gt;0,Y46*$AC$38/$P$27,Y46))</f>
        <v/>
      </c>
      <c r="AD46" s="141" t="str">
        <f t="shared" si="16"/>
        <v/>
      </c>
      <c r="AE46" s="141" t="str">
        <f t="shared" si="12"/>
        <v/>
      </c>
      <c r="AF46" s="142">
        <f t="shared" si="17"/>
        <v>5.0006249999999988E-2</v>
      </c>
      <c r="AG46" s="142">
        <f t="shared" si="18"/>
        <v>-5.0006249999999988E-2</v>
      </c>
      <c r="AH46" s="19"/>
      <c r="AI46" s="149">
        <f t="shared" si="19"/>
        <v>0.4</v>
      </c>
      <c r="AJ46" s="19">
        <f t="shared" si="20"/>
        <v>4.8000000000000008E-2</v>
      </c>
      <c r="AK46" s="71">
        <f>IF(AI46="","",ROUND(AI46/100*$H$14/25.4*20*1000+$P$38,1))</f>
        <v>437.8</v>
      </c>
      <c r="AL46" s="14">
        <f>IF(AI46="","",INDEX([0]!Vis,MATCH(AK46,[0]!Vis,1)+IF(_xlfn.IFNA(MATCH(AK46,[0]!Vis,0),0),0,1)))</f>
        <v>447.2</v>
      </c>
      <c r="AM46" s="14">
        <f>IF(AI46="","",INDEX(vis_Indication,MATCH(AL46,Vis,0),2)-INDEX(vis_Indication,MATCH($P$38,Vis,0),2))</f>
        <v>5.9943999999999997E-2</v>
      </c>
      <c r="AN46" s="95">
        <f t="shared" si="22"/>
        <v>0.49953333333333333</v>
      </c>
    </row>
    <row r="47" spans="1:40" ht="12.75" customHeight="1" x14ac:dyDescent="0.3">
      <c r="A47" s="93">
        <f>IF(N47="","",IF(N47="","",INDEX(vis_Indication,MATCH(P47,Vis,0),2)-INDEX(vis_Indication,MATCH($P$38,Vis,0),2)))</f>
        <v>5.9943999999999997E-2</v>
      </c>
      <c r="B47" s="54">
        <f t="shared" si="0"/>
        <v>5.9943999999999997E-2</v>
      </c>
      <c r="C47" s="94">
        <f t="shared" si="21"/>
        <v>0.49953333333333333</v>
      </c>
      <c r="D47" s="133">
        <f>IF(Q47="","",Q47*$H$14/$H$13/100)</f>
        <v>0.98106666666666664</v>
      </c>
      <c r="E47" s="134">
        <f t="shared" si="2"/>
        <v>0.97906666666666664</v>
      </c>
      <c r="F47" s="137">
        <f t="shared" si="3"/>
        <v>5.8864E-2</v>
      </c>
      <c r="G47" s="137">
        <f t="shared" si="4"/>
        <v>5.8743999999999998E-2</v>
      </c>
      <c r="H47" s="137">
        <f t="shared" si="5"/>
        <v>-8.9999999999999802E-5</v>
      </c>
      <c r="I47" s="137">
        <f t="shared" si="6"/>
        <v>-9.9999999999999978E-5</v>
      </c>
      <c r="J47" s="41">
        <f t="shared" si="7"/>
        <v>-1.8016815694648298</v>
      </c>
      <c r="K47" s="41">
        <f t="shared" si="8"/>
        <v>-2.0018684105164817</v>
      </c>
      <c r="L47" s="41">
        <f t="shared" si="9"/>
        <v>3.8035499799813115</v>
      </c>
      <c r="M47" s="88"/>
      <c r="N47" s="147">
        <f t="shared" si="23"/>
        <v>0.4</v>
      </c>
      <c r="O47" s="149">
        <f>IF(N47="","",IF(N47="","",INDEX(vis_Indication,MATCH(P47,Vis,0),2)-INDEX(vis_Indication,MATCH($P$38,Vis,0),2))/$H$14*100)</f>
        <v>0.49953333333333333</v>
      </c>
      <c r="P47" s="148">
        <f>IF(N47="","",INDEX([0]!Vis,MATCH(ROUND(N47/100*$H$14/25.4*20*1000+$P$38,1),[0]!Vis,1)+IF(_xlfn.IFNA(MATCH(ROUND(N47/100*$H$14/25.4*20*1000+$P$38,1),[0]!Vis,0),0),0,1)))</f>
        <v>447.2</v>
      </c>
      <c r="Q47" s="77">
        <v>0.49053333333333332</v>
      </c>
      <c r="R47" s="144">
        <v>0.48953333333333332</v>
      </c>
      <c r="U47" s="30">
        <f>IF(OR(Q47="",Q47=0),"",$O47*$P$26/Q47)</f>
        <v>2260.3034710519159</v>
      </c>
      <c r="V47" s="30">
        <f>IF(OR(R47="",R47=0),"",$O47*$P$26/R47)</f>
        <v>2264.9207326705705</v>
      </c>
      <c r="W47" s="141">
        <f t="shared" si="24"/>
        <v>0.49953333333333333</v>
      </c>
      <c r="X47" s="95">
        <f>IF(OR(Q47="",$Y$38=""),"",Q47*$Y$38/$P$26)</f>
        <v>0.82989277670194106</v>
      </c>
      <c r="Y47" s="95">
        <f>IF(OR(R47="",$Y$38=""),"",R47*$Y$38/$P$26)</f>
        <v>0.8282009594077675</v>
      </c>
      <c r="Z47" s="141">
        <f t="shared" si="14"/>
        <v>0.33035944336860773</v>
      </c>
      <c r="AA47" s="141">
        <f t="shared" si="15"/>
        <v>0.32866762607443417</v>
      </c>
      <c r="AB47" s="95" t="str">
        <f>IF(OR(Q47="",$AC$38=""),"",IF(X47&gt;0,X47*$AC$38/$P$27,X47))</f>
        <v/>
      </c>
      <c r="AC47" s="95" t="str">
        <f>IF(OR(R47="",$AC$38=""),"",IF(Y47&gt;0,Y47*$AC$38/$P$27,Y47))</f>
        <v/>
      </c>
      <c r="AD47" s="141" t="str">
        <f t="shared" si="16"/>
        <v/>
      </c>
      <c r="AE47" s="141" t="str">
        <f t="shared" si="12"/>
        <v/>
      </c>
      <c r="AF47" s="142">
        <f t="shared" si="17"/>
        <v>2.4976666666666668E-2</v>
      </c>
      <c r="AG47" s="142">
        <f t="shared" si="18"/>
        <v>-2.4976666666666668E-2</v>
      </c>
      <c r="AH47" s="19"/>
      <c r="AI47" s="149">
        <f t="shared" si="19"/>
        <v>0.2</v>
      </c>
      <c r="AJ47" s="19">
        <f t="shared" si="20"/>
        <v>2.4000000000000004E-2</v>
      </c>
      <c r="AK47" s="71">
        <f>IF(AI47="","",ROUND(AI47/100*$H$14/25.4*20*1000+$P$38,1))</f>
        <v>418.9</v>
      </c>
      <c r="AL47" s="14">
        <f>IF(AI47="","",INDEX([0]!Vis,MATCH(AK47,[0]!Vis,1)+IF(_xlfn.IFNA(MATCH(AK47,[0]!Vis,0),0),0,1)))</f>
        <v>447.2</v>
      </c>
      <c r="AM47" s="14">
        <f>IF(AI47="","",INDEX(vis_Indication,MATCH(AL47,Vis,0),2)-INDEX(vis_Indication,MATCH($P$38,Vis,0),2))</f>
        <v>5.9943999999999997E-2</v>
      </c>
      <c r="AN47" s="95">
        <f t="shared" si="22"/>
        <v>0.49953333333333333</v>
      </c>
    </row>
    <row r="48" spans="1:40" ht="12.75" customHeight="1" x14ac:dyDescent="0.3">
      <c r="A48" s="93">
        <f>IF(N48="","",IF(N48="","",INDEX(vis_Indication,MATCH(P48,Vis,0),2)-INDEX(vis_Indication,MATCH($P$38,Vis,0),2)))</f>
        <v>0</v>
      </c>
      <c r="B48" s="54">
        <f>IF(C48="","",C48/100*$H$14)</f>
        <v>0</v>
      </c>
      <c r="C48" s="94">
        <f t="shared" si="21"/>
        <v>0</v>
      </c>
      <c r="D48" s="135">
        <f t="shared" si="13"/>
        <v>0</v>
      </c>
      <c r="E48" s="136">
        <f t="shared" si="2"/>
        <v>0</v>
      </c>
      <c r="F48" s="137" t="str">
        <f t="shared" ref="F48" si="25">IF(OR(D48=0,D48=""),"",(D48*$H$13))</f>
        <v/>
      </c>
      <c r="G48" s="137" t="str">
        <f t="shared" ref="G48" si="26">IF(OR(E48=0,E48=""),"",(E48*$H$13))</f>
        <v/>
      </c>
      <c r="H48" s="137" t="str">
        <f>IF(F48="","",(F48-$A48)/$H$14)</f>
        <v/>
      </c>
      <c r="I48" s="137" t="str">
        <f>IF(G48="","",(G48-$A48)/$H$14)</f>
        <v/>
      </c>
      <c r="J48" s="41" t="str">
        <f>IF(F48=""," ",((F48-$A48)/B48)*100)</f>
        <v xml:space="preserve"> </v>
      </c>
      <c r="K48" s="41" t="str">
        <f>IF(G48=""," ",((G48-$A48)/B48)*100)</f>
        <v xml:space="preserve"> </v>
      </c>
      <c r="L48" s="41" t="str">
        <f>IF(F48=""," ",(ABS(J48)+ABS(K48)))</f>
        <v xml:space="preserve"> </v>
      </c>
      <c r="M48" s="88"/>
      <c r="N48" s="147">
        <v>0</v>
      </c>
      <c r="O48" s="149">
        <f>IF(N48="","",IF(N48="","",INDEX(vis_Indication,MATCH(P48,Vis,0),2)-INDEX(vis_Indication,MATCH($P$38,Vis,0),2))/$H$14*100)</f>
        <v>0</v>
      </c>
      <c r="P48" s="148">
        <f>IF(N48="","",INDEX([0]!Vis,MATCH(ROUND(N48/100*$H$14/25.4*20*1000+$P$38,1),[0]!Vis,1)+IF(_xlfn.IFNA(MATCH(ROUND(N48/100*$H$14/25.4*20*1000+$P$38,1),[0]!Vis,0),0),0,1)))</f>
        <v>400</v>
      </c>
      <c r="Q48" s="77">
        <v>0</v>
      </c>
      <c r="R48" s="144">
        <v>0</v>
      </c>
      <c r="U48" s="30" t="str">
        <f>IF(OR(Q48="",Q48=0),"",$O48*$P$26/Q48)</f>
        <v/>
      </c>
      <c r="V48" s="30" t="str">
        <f>IF(OR(R48="",R48=0),"",$O48*$P$26/R48)</f>
        <v/>
      </c>
      <c r="W48" s="141">
        <f t="shared" si="24"/>
        <v>0</v>
      </c>
      <c r="X48" s="95">
        <f>IF(OR(Q48="",$Y$38=""),"",Q48*$Y$38/$P$26)</f>
        <v>0</v>
      </c>
      <c r="Y48" s="95">
        <f>IF(OR(R48="",$Y$38=""),"",R48*$Y$38/$P$26)</f>
        <v>0</v>
      </c>
      <c r="Z48" s="141">
        <f t="shared" si="14"/>
        <v>0</v>
      </c>
      <c r="AA48" s="141">
        <f t="shared" si="15"/>
        <v>0</v>
      </c>
      <c r="AB48" s="95" t="str">
        <f>IF(OR(Q48="",$AC$38=""),"",IF(X48&gt;0,X48*$AC$38/$P$27,X48))</f>
        <v/>
      </c>
      <c r="AC48" s="95" t="str">
        <f>IF(OR(R48="",$AC$38=""),"",IF(Y48&gt;0,Y48*$AC$38/$P$27,Y48))</f>
        <v/>
      </c>
      <c r="AD48" s="141" t="str">
        <f t="shared" si="16"/>
        <v/>
      </c>
      <c r="AE48" s="141" t="str">
        <f t="shared" si="12"/>
        <v/>
      </c>
      <c r="AF48" s="142">
        <f t="shared" si="17"/>
        <v>0</v>
      </c>
      <c r="AG48" s="142">
        <f t="shared" si="18"/>
        <v>0</v>
      </c>
      <c r="AH48" s="19"/>
      <c r="AI48" s="149">
        <v>0</v>
      </c>
      <c r="AJ48" s="19">
        <f t="shared" ref="AJ48" si="27">AI48*$H$14/100</f>
        <v>0</v>
      </c>
      <c r="AK48" s="71">
        <f>ROUND(AI48/100*$H$14/25.4*20*1000+$P$38,1)</f>
        <v>400</v>
      </c>
      <c r="AL48" s="14">
        <f>INDEX('Vis micro'!$B$15:$B$65,MATCH(AK48,'Vis micro'!$B$15:$B$65,1)+IF(_xlfn.IFNA(MATCH(AK48,'Vis micro'!$B$15:$B$65,0),0),0,1))</f>
        <v>400</v>
      </c>
      <c r="AM48" s="14">
        <f>INDEX(vis_Indication,MATCH(AL48,Vis,0),2)-INDEX(vis_Indication,MATCH($P$38,Vis,0),2)</f>
        <v>0</v>
      </c>
      <c r="AN48" s="95">
        <f t="shared" ref="AN48" si="28">AM48/$H$14*100</f>
        <v>0</v>
      </c>
    </row>
    <row r="49" spans="1:40" ht="12.75" customHeight="1" x14ac:dyDescent="0.3">
      <c r="A49" s="93">
        <f>IF(N49="","",IF(N49="","",INDEX(vis_Indication,MATCH(P49,Vis,0),2)-INDEX(vis_Indication,MATCH($P$38,Vis,0),2)))</f>
        <v>-0.12001500000000004</v>
      </c>
      <c r="B49" s="54">
        <f t="shared" ref="B49:B57" si="29">IF(C49="","",C49/100*$H$14)</f>
        <v>-0.12001500000000004</v>
      </c>
      <c r="C49" s="94">
        <f t="shared" si="21"/>
        <v>-1.0001250000000004</v>
      </c>
      <c r="D49" s="133">
        <f t="shared" si="13"/>
        <v>-1.0170666666666675</v>
      </c>
      <c r="E49" s="134">
        <f t="shared" si="2"/>
        <v>-0.98506666666666765</v>
      </c>
      <c r="F49" s="137">
        <f t="shared" ref="F49:F56" si="30">IF(OR(D49=0,D49=""),"",(D49*$H$13))</f>
        <v>-6.1024000000000043E-2</v>
      </c>
      <c r="G49" s="137">
        <f t="shared" ref="G49:G56" si="31">IF(OR(E49=0,E49=""),"",(E49*$H$13))</f>
        <v>-5.9104000000000059E-2</v>
      </c>
      <c r="H49" s="137">
        <f t="shared" ref="H49:H56" si="32">IF(F49="","",(F49-$A49)/$H$14)</f>
        <v>4.9159166666666665E-3</v>
      </c>
      <c r="I49" s="137">
        <f t="shared" ref="I49:I56" si="33">IF(G49="","",(G49-$A49)/$H$14)</f>
        <v>5.0759166666666652E-3</v>
      </c>
      <c r="J49" s="41">
        <f t="shared" ref="J49:J56" si="34">IF(F49=""," ",((F49-$A49)/B49)*100)</f>
        <v>-49.153022538849292</v>
      </c>
      <c r="K49" s="41">
        <f t="shared" ref="K49:K56" si="35">IF(G49=""," ",((G49-$A49)/B49)*100)</f>
        <v>-50.752822563846159</v>
      </c>
      <c r="L49" s="41">
        <f t="shared" ref="L49:L56" si="36">IF(F49=""," ",(ABS(J49)+ABS(K49)))</f>
        <v>99.905845102695451</v>
      </c>
      <c r="M49" s="88"/>
      <c r="N49" s="147">
        <f>IF(OR(O48&lt;MIN($W$24:$X$24)-$W$26,N48=""),"",IF(MIN($W$24:$X$24)&lt;$W$25,IF(N48&gt;$W$25,N48+$W$25/5,ROUNDDOWN(N48-(MAX($W$24:$X$24)-MIN($W$24:$X$24))/3,1)),N48-MAX($W$24:$X$24)/5))</f>
        <v>-0.6</v>
      </c>
      <c r="O49" s="149">
        <f>IF(N49="","",IF(N49="","",INDEX(vis_Indication,MATCH(P49,Vis,0),2)-INDEX(vis_Indication,MATCH($P$38,Vis,0),2))/$H$14*100)</f>
        <v>-1.0001250000000004</v>
      </c>
      <c r="P49" s="151">
        <f>IF(N49="","",INDEX([0]!Vis,MATCH(ROUND(N49/100*$H$14/25.4*20*1000+$P$38,1),[0]!Vis,1)+IF(_xlfn.IFNA(MATCH(ROUND(N49/100*$H$14/25.4*20*1000+$P$38,1),[0]!Vis,0),0),-1,0)))</f>
        <v>305.5</v>
      </c>
      <c r="Q49" s="77">
        <v>-0.50853333333333373</v>
      </c>
      <c r="R49" s="144">
        <v>-0.49253333333333377</v>
      </c>
      <c r="U49" s="30">
        <f>IF(OR(Q49="",Q49=0),"",$O49*$P$26/Q49)</f>
        <v>4365.2152218799147</v>
      </c>
      <c r="V49" s="30">
        <f>IF(OR(R49="",R49=0),"",$O49*$P$26/R49)</f>
        <v>4507.0197228613952</v>
      </c>
      <c r="W49" s="141">
        <f>IF(O49="",W48,O49)</f>
        <v>-1.0001250000000004</v>
      </c>
      <c r="X49" s="95">
        <f>IF(OR(Q49="",$Y$38=""),"",Q49*$Y$38/$P$26)</f>
        <v>-0.86034548799706601</v>
      </c>
      <c r="Y49" s="95">
        <f>IF(OR(R49="",$Y$38=""),"",R49*$Y$38/$P$26)</f>
        <v>-0.83327641129028895</v>
      </c>
      <c r="Z49" s="141">
        <f t="shared" si="14"/>
        <v>0.13977951200293437</v>
      </c>
      <c r="AA49" s="141">
        <f t="shared" si="15"/>
        <v>0.16684858870971142</v>
      </c>
      <c r="AB49" s="95" t="str">
        <f>IF(OR(Q49="",$AC$38=""),"",IF(X49&gt;0,X49*$AC$38/$P$27,X49))</f>
        <v/>
      </c>
      <c r="AC49" s="95" t="str">
        <f>IF(OR(R49="",$AC$38=""),"",IF(Y49&gt;0,Y49*$AC$38/$P$27,Y49))</f>
        <v/>
      </c>
      <c r="AD49" s="141" t="str">
        <f t="shared" si="16"/>
        <v/>
      </c>
      <c r="AE49" s="141" t="str">
        <f t="shared" si="12"/>
        <v/>
      </c>
      <c r="AF49" s="142">
        <f t="shared" si="17"/>
        <v>-5.0006250000000023E-2</v>
      </c>
      <c r="AG49" s="142">
        <f t="shared" si="18"/>
        <v>5.0006250000000023E-2</v>
      </c>
      <c r="AH49" s="19"/>
      <c r="AI49" s="149">
        <f t="shared" ref="AI49:AI57" si="37">IF(OR(AN48&lt;MIN($W$24:$X$24)-$W$26,AI48=""),"",IF(MIN($W$24:$X$24)&lt;$W$25,IF(AI48&gt;$W$25,AI48+$W$25/5,ROUNDDOWN(AI48-(MAX($W$24:$X$24)-MIN($W$24:$X$24))/3,1)),AI48-MAX($W$24:$X$24)/5))</f>
        <v>-0.6</v>
      </c>
      <c r="AJ49" s="19">
        <f>IF(AI49="","",AI49*$H$14/100)</f>
        <v>-7.1999999999999995E-2</v>
      </c>
      <c r="AK49" s="71">
        <f>IF(AI49="","",ROUND(AI49/100*$H$14/25.4*20*1000+$P$38,1))</f>
        <v>343.3</v>
      </c>
      <c r="AL49" s="89">
        <f>IF(AI49="","",INDEX([0]!Vis,MATCH(AK49,[0]!Vis,1)+IF(_xlfn.IFNA(MATCH(AK49,[0]!Vis,0),0),-1,0)))</f>
        <v>305.5</v>
      </c>
      <c r="AM49" s="14">
        <f>IF(AI49="","",INDEX(vis_Indication,MATCH(AL49,Vis,0),2)-INDEX(vis_Indication,MATCH($P$38,Vis,0),2))</f>
        <v>-0.12001500000000004</v>
      </c>
      <c r="AN49" s="95">
        <f>IF(AI49="","",AM49/$H$14*100)</f>
        <v>-1.0001250000000004</v>
      </c>
    </row>
    <row r="50" spans="1:40" ht="12.75" customHeight="1" x14ac:dyDescent="0.3">
      <c r="A50" s="93">
        <f>IF(N50="","",IF(N50="","",INDEX(vis_Indication,MATCH(P50,Vis,0),2)-INDEX(vis_Indication,MATCH($P$38,Vis,0),2)))</f>
        <v>-0.17995899999999998</v>
      </c>
      <c r="B50" s="54">
        <f t="shared" si="29"/>
        <v>-0.17995900000000001</v>
      </c>
      <c r="C50" s="94">
        <f t="shared" si="21"/>
        <v>-1.4996583333333333</v>
      </c>
      <c r="D50" s="133" t="str">
        <f t="shared" si="13"/>
        <v/>
      </c>
      <c r="E50" s="134" t="str">
        <f t="shared" si="2"/>
        <v/>
      </c>
      <c r="F50" s="137" t="str">
        <f t="shared" si="30"/>
        <v/>
      </c>
      <c r="G50" s="137" t="str">
        <f t="shared" si="31"/>
        <v/>
      </c>
      <c r="H50" s="137" t="str">
        <f t="shared" si="32"/>
        <v/>
      </c>
      <c r="I50" s="137" t="str">
        <f t="shared" si="33"/>
        <v/>
      </c>
      <c r="J50" s="41" t="str">
        <f t="shared" si="34"/>
        <v xml:space="preserve"> </v>
      </c>
      <c r="K50" s="41" t="str">
        <f t="shared" si="35"/>
        <v xml:space="preserve"> </v>
      </c>
      <c r="L50" s="41" t="str">
        <f t="shared" si="36"/>
        <v xml:space="preserve"> </v>
      </c>
      <c r="M50" s="88"/>
      <c r="N50" s="147">
        <f t="shared" ref="N50:N56" si="38">IF(OR(O49&lt;MIN($W$24:$X$24)-$W$26,N49=""),"",IF(MIN($W$24:$X$24)&lt;$W$25,IF(N49&gt;$W$25,N49+$W$25/5,ROUNDDOWN(N49-(MAX($W$24:$X$24)-MIN($W$24:$X$24))/3,1)),N49-MAX($W$24:$X$24)/5))</f>
        <v>-1.2</v>
      </c>
      <c r="O50" s="149">
        <f>IF(N50="","",IF(N50="","",INDEX(vis_Indication,MATCH(P50,Vis,0),2)-INDEX(vis_Indication,MATCH($P$38,Vis,0),2))/$H$14*100)</f>
        <v>-1.4996583333333333</v>
      </c>
      <c r="P50" s="151">
        <f>IF(N50="","",INDEX([0]!Vis,MATCH(ROUND(N50/100*$H$14/25.4*20*1000+$P$38,1),[0]!Vis,1)+IF(_xlfn.IFNA(MATCH(ROUND(N50/100*$H$14/25.4*20*1000+$P$38,1),[0]!Vis,0),0),-1,0)))</f>
        <v>258.3</v>
      </c>
      <c r="Q50" s="77"/>
      <c r="R50" s="144"/>
      <c r="U50" s="30" t="str">
        <f>IF(OR(Q50="",Q50=0),"",$O50*$P$26/Q50)</f>
        <v/>
      </c>
      <c r="V50" s="30" t="str">
        <f>IF(OR(R50="",R50=0),"",$O50*$P$26/R50)</f>
        <v/>
      </c>
      <c r="W50" s="141">
        <f t="shared" ref="W50:W56" si="39">IF(O50="",W49,O50)</f>
        <v>-1.4996583333333333</v>
      </c>
      <c r="X50" s="95" t="str">
        <f>IF(OR(Q50="",$Y$38=""),"",Q50*$Y$38/$P$26)</f>
        <v/>
      </c>
      <c r="Y50" s="95" t="str">
        <f>IF(OR(R50="",$Y$38=""),"",R50*$Y$38/$P$26)</f>
        <v/>
      </c>
      <c r="Z50" s="141" t="str">
        <f t="shared" si="14"/>
        <v/>
      </c>
      <c r="AA50" s="141" t="str">
        <f t="shared" si="15"/>
        <v/>
      </c>
      <c r="AB50" s="95" t="str">
        <f>IF(OR(Q50="",$AC$38=""),"",IF(X50&gt;0,X50*$AC$38/$P$27,X50))</f>
        <v/>
      </c>
      <c r="AC50" s="95" t="str">
        <f>IF(OR(R50="",$AC$38=""),"",IF(Y50&gt;0,Y50*$AC$38/$P$27,Y50))</f>
        <v/>
      </c>
      <c r="AD50" s="141" t="str">
        <f t="shared" si="16"/>
        <v/>
      </c>
      <c r="AE50" s="141" t="str">
        <f t="shared" si="12"/>
        <v/>
      </c>
      <c r="AF50" s="142">
        <f t="shared" si="17"/>
        <v>-7.4982916666666677E-2</v>
      </c>
      <c r="AG50" s="142">
        <f t="shared" si="18"/>
        <v>7.4982916666666677E-2</v>
      </c>
      <c r="AH50" s="19"/>
      <c r="AI50" s="149">
        <f t="shared" si="37"/>
        <v>-1.2</v>
      </c>
      <c r="AJ50" s="19">
        <f t="shared" ref="AJ50:AJ56" si="40">IF(AI50="","",AI50*$H$14/100)</f>
        <v>-0.14399999999999999</v>
      </c>
      <c r="AK50" s="71">
        <f>IF(AI50="","",ROUND(AI50/100*$H$14/25.4*20*1000+$P$38,1))</f>
        <v>286.60000000000002</v>
      </c>
      <c r="AL50" s="89">
        <f>IF(AI50="","",INDEX([0]!Vis,MATCH(AK50,[0]!Vis,1)+IF(_xlfn.IFNA(MATCH(AK50,[0]!Vis,0),0),-1,0)))</f>
        <v>258.3</v>
      </c>
      <c r="AM50" s="14">
        <f>IF(AI50="","",INDEX(vis_Indication,MATCH(AL50,Vis,0),2)-INDEX(vis_Indication,MATCH($P$38,Vis,0),2))</f>
        <v>-0.17995899999999998</v>
      </c>
      <c r="AN50" s="95">
        <f t="shared" ref="AN50:AN56" si="41">IF(AI50="","",AM50/$H$14*100)</f>
        <v>-1.4996583333333333</v>
      </c>
    </row>
    <row r="51" spans="1:40" ht="12.75" customHeight="1" x14ac:dyDescent="0.3">
      <c r="A51" s="93">
        <f>IF(N51="","",IF(N51="","",INDEX(vis_Indication,MATCH(P51,Vis,0),2)-INDEX(vis_Indication,MATCH($P$38,Vis,0),2)))</f>
        <v>-0.24003000000000002</v>
      </c>
      <c r="B51" s="54">
        <f t="shared" si="29"/>
        <v>-0.24003000000000002</v>
      </c>
      <c r="C51" s="94">
        <f t="shared" si="21"/>
        <v>-2.0002500000000003</v>
      </c>
      <c r="D51" s="133" t="str">
        <f t="shared" si="13"/>
        <v/>
      </c>
      <c r="E51" s="134" t="str">
        <f t="shared" si="2"/>
        <v/>
      </c>
      <c r="F51" s="137" t="str">
        <f t="shared" si="30"/>
        <v/>
      </c>
      <c r="G51" s="137" t="str">
        <f t="shared" si="31"/>
        <v/>
      </c>
      <c r="H51" s="137" t="str">
        <f t="shared" si="32"/>
        <v/>
      </c>
      <c r="I51" s="137" t="str">
        <f t="shared" si="33"/>
        <v/>
      </c>
      <c r="J51" s="41" t="str">
        <f t="shared" si="34"/>
        <v xml:space="preserve"> </v>
      </c>
      <c r="K51" s="41" t="str">
        <f t="shared" si="35"/>
        <v xml:space="preserve"> </v>
      </c>
      <c r="L51" s="41" t="str">
        <f t="shared" si="36"/>
        <v xml:space="preserve"> </v>
      </c>
      <c r="M51" s="88"/>
      <c r="N51" s="147">
        <f t="shared" si="38"/>
        <v>-1.8</v>
      </c>
      <c r="O51" s="149">
        <f>IF(N51="","",IF(N51="","",INDEX(vis_Indication,MATCH(P51,Vis,0),2)-INDEX(vis_Indication,MATCH($P$38,Vis,0),2))/$H$14*100)</f>
        <v>-2.0002500000000003</v>
      </c>
      <c r="P51" s="151">
        <f>IF(N51="","",INDEX([0]!Vis,MATCH(ROUND(N51/100*$H$14/25.4*20*1000+$P$38,1),[0]!Vis,1)+IF(_xlfn.IFNA(MATCH(ROUND(N51/100*$H$14/25.4*20*1000+$P$38,1),[0]!Vis,0),0),-1,0)))</f>
        <v>211</v>
      </c>
      <c r="Q51" s="77"/>
      <c r="R51" s="144"/>
      <c r="U51" s="30" t="str">
        <f>IF(OR(Q51="",Q51=0),"",$O51*$P$26/Q51)</f>
        <v/>
      </c>
      <c r="V51" s="30" t="str">
        <f>IF(OR(R51="",R51=0),"",$O51*$P$26/R51)</f>
        <v/>
      </c>
      <c r="W51" s="141">
        <f t="shared" si="39"/>
        <v>-2.0002500000000003</v>
      </c>
      <c r="X51" s="95" t="str">
        <f>IF(OR(Q51="",$Y$38=""),"",Q51*$Y$38/$P$26)</f>
        <v/>
      </c>
      <c r="Y51" s="95" t="str">
        <f>IF(OR(R51="",$Y$38=""),"",R51*$Y$38/$P$26)</f>
        <v/>
      </c>
      <c r="Z51" s="141" t="str">
        <f t="shared" si="14"/>
        <v/>
      </c>
      <c r="AA51" s="141" t="str">
        <f t="shared" si="15"/>
        <v/>
      </c>
      <c r="AB51" s="95" t="str">
        <f>IF(OR(Q51="",$AC$38=""),"",IF(X51&gt;0,X51*$AC$38/$P$27,X51))</f>
        <v/>
      </c>
      <c r="AC51" s="95" t="str">
        <f>IF(OR(R51="",$AC$38=""),"",IF(Y51&gt;0,Y51*$AC$38/$P$27,Y51))</f>
        <v/>
      </c>
      <c r="AD51" s="141" t="str">
        <f t="shared" si="16"/>
        <v/>
      </c>
      <c r="AE51" s="141" t="str">
        <f t="shared" si="12"/>
        <v/>
      </c>
      <c r="AF51" s="142">
        <f t="shared" si="17"/>
        <v>-0.10001250000000002</v>
      </c>
      <c r="AG51" s="142">
        <f t="shared" si="18"/>
        <v>0.10001250000000002</v>
      </c>
      <c r="AH51" s="19"/>
      <c r="AI51" s="149">
        <f>IF(OR(AN50&lt;MIN($W$24:$X$24)-$W$26,AI50=""),"",IF(MIN($W$24:$X$24)&lt;$W$25,IF(AI50&gt;$W$25,AI50+$W$25/5,ROUNDDOWN(AI50-(MAX($W$24:$X$24)-MIN($W$24:$X$24))/3,1)),AI50-MAX($W$24:$X$24)/5))</f>
        <v>-1.8</v>
      </c>
      <c r="AJ51" s="19">
        <f t="shared" si="40"/>
        <v>-0.21600000000000003</v>
      </c>
      <c r="AK51" s="71">
        <f>IF(AI51="","",ROUND(AI51/100*$H$14/25.4*20*1000+$P$38,1))</f>
        <v>229.9</v>
      </c>
      <c r="AL51" s="89">
        <f>IF(AI51="","",INDEX([0]!Vis,MATCH(AK51,[0]!Vis,1)+IF(_xlfn.IFNA(MATCH(AK51,[0]!Vis,0),0),-1,0)))</f>
        <v>211</v>
      </c>
      <c r="AM51" s="14">
        <f>IF(AI51="","",INDEX(vis_Indication,MATCH(AL51,Vis,0),2)-INDEX(vis_Indication,MATCH($P$38,Vis,0),2))</f>
        <v>-0.24003000000000002</v>
      </c>
      <c r="AN51" s="95">
        <f t="shared" si="41"/>
        <v>-2.0002500000000003</v>
      </c>
    </row>
    <row r="52" spans="1:40" ht="12.75" customHeight="1" x14ac:dyDescent="0.3">
      <c r="A52" s="93" t="str">
        <f>IF(N52="","",IF(N52="","",INDEX(vis_Indication,MATCH(P52,Vis,0),2)-INDEX(vis_Indication,MATCH($P$38,Vis,0),2)))</f>
        <v/>
      </c>
      <c r="B52" s="54" t="str">
        <f t="shared" si="29"/>
        <v/>
      </c>
      <c r="C52" s="94" t="str">
        <f t="shared" si="21"/>
        <v/>
      </c>
      <c r="D52" s="133" t="str">
        <f t="shared" si="13"/>
        <v/>
      </c>
      <c r="E52" s="134" t="str">
        <f t="shared" si="2"/>
        <v/>
      </c>
      <c r="F52" s="137" t="str">
        <f t="shared" si="30"/>
        <v/>
      </c>
      <c r="G52" s="137" t="str">
        <f t="shared" si="31"/>
        <v/>
      </c>
      <c r="H52" s="137" t="str">
        <f t="shared" si="32"/>
        <v/>
      </c>
      <c r="I52" s="137" t="str">
        <f t="shared" si="33"/>
        <v/>
      </c>
      <c r="J52" s="41" t="str">
        <f t="shared" si="34"/>
        <v xml:space="preserve"> </v>
      </c>
      <c r="K52" s="41" t="str">
        <f t="shared" si="35"/>
        <v xml:space="preserve"> </v>
      </c>
      <c r="L52" s="41" t="str">
        <f t="shared" si="36"/>
        <v xml:space="preserve"> </v>
      </c>
      <c r="M52" s="88"/>
      <c r="N52" s="147" t="str">
        <f t="shared" si="38"/>
        <v/>
      </c>
      <c r="O52" s="149" t="str">
        <f>IF(N52="","",IF(N52="","",INDEX(vis_Indication,MATCH(P52,Vis,0),2)-INDEX(vis_Indication,MATCH($P$38,Vis,0),2))/$H$14*100)</f>
        <v/>
      </c>
      <c r="P52" s="151" t="str">
        <f>IF(N52="","",INDEX([0]!Vis,MATCH(ROUND(N52/100*$H$14/25.4*20*1000+$P$38,1),[0]!Vis,1)+IF(_xlfn.IFNA(MATCH(ROUND(N52/100*$H$14/25.4*20*1000+$P$38,1),[0]!Vis,0),0),-1,0)))</f>
        <v/>
      </c>
      <c r="Q52" s="77"/>
      <c r="R52" s="144"/>
      <c r="U52" s="30" t="str">
        <f>IF(OR(Q52="",Q52=0),"",$O52*$P$26/Q52)</f>
        <v/>
      </c>
      <c r="V52" s="30" t="str">
        <f>IF(OR(R52="",R52=0),"",$O52*$P$26/R52)</f>
        <v/>
      </c>
      <c r="W52" s="141">
        <f t="shared" si="39"/>
        <v>-2.0002500000000003</v>
      </c>
      <c r="X52" s="95" t="str">
        <f>IF(OR(Q52="",$Y$38=""),"",Q52*$Y$38/$P$26)</f>
        <v/>
      </c>
      <c r="Y52" s="95" t="str">
        <f>IF(OR(R52="",$Y$38=""),"",R52*$Y$38/$P$26)</f>
        <v/>
      </c>
      <c r="Z52" s="141" t="str">
        <f t="shared" si="14"/>
        <v/>
      </c>
      <c r="AA52" s="141" t="str">
        <f t="shared" si="15"/>
        <v/>
      </c>
      <c r="AB52" s="95" t="str">
        <f>IF(OR(Q52="",$AC$38=""),"",IF(X52&gt;0,X52*$AC$38/$P$27,X52))</f>
        <v/>
      </c>
      <c r="AC52" s="95" t="str">
        <f>IF(OR(R52="",$AC$38=""),"",IF(Y52&gt;0,Y52*$AC$38/$P$27,Y52))</f>
        <v/>
      </c>
      <c r="AD52" s="141" t="str">
        <f t="shared" si="16"/>
        <v/>
      </c>
      <c r="AE52" s="141" t="str">
        <f t="shared" si="12"/>
        <v/>
      </c>
      <c r="AF52" s="142" t="str">
        <f t="shared" si="17"/>
        <v/>
      </c>
      <c r="AG52" s="142" t="str">
        <f t="shared" si="18"/>
        <v/>
      </c>
      <c r="AH52" s="19"/>
      <c r="AI52" s="149" t="str">
        <f t="shared" si="37"/>
        <v/>
      </c>
      <c r="AJ52" s="19" t="str">
        <f t="shared" si="40"/>
        <v/>
      </c>
      <c r="AK52" s="71" t="str">
        <f>IF(AI52="","",ROUND(AI52/100*$H$14/25.4*20*1000+$P$38,1))</f>
        <v/>
      </c>
      <c r="AL52" s="89" t="str">
        <f>IF(AI52="","",INDEX([0]!Vis,MATCH(AK52,[0]!Vis,1)+IF(_xlfn.IFNA(MATCH(AK52,[0]!Vis,0),0),-1,0)))</f>
        <v/>
      </c>
      <c r="AM52" s="14" t="str">
        <f>IF(AI52="","",INDEX(vis_Indication,MATCH(AL52,Vis,0),2)-INDEX(vis_Indication,MATCH($P$38,Vis,0),2))</f>
        <v/>
      </c>
      <c r="AN52" s="14" t="str">
        <f t="shared" si="41"/>
        <v/>
      </c>
    </row>
    <row r="53" spans="1:40" ht="12.75" customHeight="1" x14ac:dyDescent="0.3">
      <c r="A53" s="93" t="str">
        <f>IF(N53="","",IF(N53="","",INDEX(vis_Indication,MATCH(P53,Vis,0),2)-INDEX(vis_Indication,MATCH($P$38,Vis,0),2)))</f>
        <v/>
      </c>
      <c r="B53" s="54" t="str">
        <f t="shared" si="29"/>
        <v/>
      </c>
      <c r="C53" s="94" t="str">
        <f t="shared" si="21"/>
        <v/>
      </c>
      <c r="D53" s="133" t="str">
        <f t="shared" si="13"/>
        <v/>
      </c>
      <c r="E53" s="134" t="str">
        <f t="shared" si="2"/>
        <v/>
      </c>
      <c r="F53" s="137" t="str">
        <f t="shared" si="30"/>
        <v/>
      </c>
      <c r="G53" s="137" t="str">
        <f t="shared" si="31"/>
        <v/>
      </c>
      <c r="H53" s="137" t="str">
        <f t="shared" si="32"/>
        <v/>
      </c>
      <c r="I53" s="137" t="str">
        <f t="shared" si="33"/>
        <v/>
      </c>
      <c r="J53" s="41" t="str">
        <f t="shared" si="34"/>
        <v xml:space="preserve"> </v>
      </c>
      <c r="K53" s="41" t="str">
        <f t="shared" si="35"/>
        <v xml:space="preserve"> </v>
      </c>
      <c r="L53" s="41" t="str">
        <f t="shared" si="36"/>
        <v xml:space="preserve"> </v>
      </c>
      <c r="M53" s="88"/>
      <c r="N53" s="147" t="str">
        <f t="shared" si="38"/>
        <v/>
      </c>
      <c r="O53" s="149" t="str">
        <f>IF(N53="","",IF(N53="","",INDEX(vis_Indication,MATCH(P53,Vis,0),2)-INDEX(vis_Indication,MATCH($P$38,Vis,0),2))/$H$14*100)</f>
        <v/>
      </c>
      <c r="P53" s="151" t="str">
        <f>IF(N53="","",INDEX([0]!Vis,MATCH(ROUND(N53/100*$H$14/25.4*20*1000+$P$38,1),[0]!Vis,1)+IF(_xlfn.IFNA(MATCH(ROUND(N53/100*$H$14/25.4*20*1000+$P$38,1),[0]!Vis,0),0),-1,0)))</f>
        <v/>
      </c>
      <c r="Q53" s="77"/>
      <c r="R53" s="144"/>
      <c r="U53" s="30" t="str">
        <f>IF(OR(Q53="",Q53=0),"",$O53*$P$26/Q53)</f>
        <v/>
      </c>
      <c r="V53" s="30" t="str">
        <f>IF(OR(R53="",R53=0),"",$O53*$P$26/R53)</f>
        <v/>
      </c>
      <c r="W53" s="141">
        <f t="shared" si="39"/>
        <v>-2.0002500000000003</v>
      </c>
      <c r="X53" s="95" t="str">
        <f>IF(OR(Q53="",$Y$38=""),"",Q53*$Y$38/$P$26)</f>
        <v/>
      </c>
      <c r="Y53" s="95" t="str">
        <f>IF(OR(R53="",$Y$38=""),"",R53*$Y$38/$P$26)</f>
        <v/>
      </c>
      <c r="Z53" s="141" t="str">
        <f t="shared" si="14"/>
        <v/>
      </c>
      <c r="AA53" s="141" t="str">
        <f t="shared" si="15"/>
        <v/>
      </c>
      <c r="AB53" s="95" t="str">
        <f>IF(OR(Q53="",$AC$38=""),"",IF(X53&gt;0,X53*$AC$38/$P$27,X53))</f>
        <v/>
      </c>
      <c r="AC53" s="95" t="str">
        <f>IF(OR(R53="",$AC$38=""),"",IF(Y53&gt;0,Y53*$AC$38/$P$27,Y53))</f>
        <v/>
      </c>
      <c r="AD53" s="141" t="str">
        <f t="shared" si="16"/>
        <v/>
      </c>
      <c r="AE53" s="141" t="str">
        <f t="shared" si="12"/>
        <v/>
      </c>
      <c r="AF53" s="142" t="str">
        <f t="shared" si="17"/>
        <v/>
      </c>
      <c r="AG53" s="142" t="str">
        <f t="shared" si="18"/>
        <v/>
      </c>
      <c r="AH53" s="19"/>
      <c r="AI53" s="149" t="str">
        <f t="shared" si="37"/>
        <v/>
      </c>
      <c r="AJ53" s="19" t="str">
        <f t="shared" si="40"/>
        <v/>
      </c>
      <c r="AK53" s="71" t="str">
        <f>IF(AI53="","",ROUND(AI53/100*$H$14/25.4*20*1000+$P$38,1))</f>
        <v/>
      </c>
      <c r="AL53" s="89" t="str">
        <f>IF(AI53="","",INDEX([0]!Vis,MATCH(AK53,[0]!Vis,1)+IF(_xlfn.IFNA(MATCH(AK53,[0]!Vis,0),0),-1,0)))</f>
        <v/>
      </c>
      <c r="AM53" s="14" t="str">
        <f>IF(AI53="","",INDEX(vis_Indication,MATCH(AL53,Vis,0),2)-INDEX(vis_Indication,MATCH($P$38,Vis,0),2))</f>
        <v/>
      </c>
      <c r="AN53" s="14" t="str">
        <f t="shared" si="41"/>
        <v/>
      </c>
    </row>
    <row r="54" spans="1:40" ht="12.75" customHeight="1" x14ac:dyDescent="0.3">
      <c r="A54" s="93" t="str">
        <f>IF(N54="","",IF(N54="","",INDEX(vis_Indication,MATCH(P54,Vis,0),2)-INDEX(vis_Indication,MATCH($P$38,Vis,0),2)))</f>
        <v/>
      </c>
      <c r="B54" s="54" t="str">
        <f t="shared" si="29"/>
        <v/>
      </c>
      <c r="C54" s="94" t="str">
        <f t="shared" si="21"/>
        <v/>
      </c>
      <c r="D54" s="133" t="str">
        <f t="shared" si="13"/>
        <v/>
      </c>
      <c r="E54" s="134" t="str">
        <f t="shared" si="2"/>
        <v/>
      </c>
      <c r="F54" s="137" t="str">
        <f t="shared" si="30"/>
        <v/>
      </c>
      <c r="G54" s="137" t="str">
        <f t="shared" si="31"/>
        <v/>
      </c>
      <c r="H54" s="137" t="str">
        <f t="shared" si="32"/>
        <v/>
      </c>
      <c r="I54" s="137" t="str">
        <f t="shared" si="33"/>
        <v/>
      </c>
      <c r="J54" s="41" t="str">
        <f t="shared" si="34"/>
        <v xml:space="preserve"> </v>
      </c>
      <c r="K54" s="41" t="str">
        <f t="shared" si="35"/>
        <v xml:space="preserve"> </v>
      </c>
      <c r="L54" s="41" t="str">
        <f t="shared" si="36"/>
        <v xml:space="preserve"> </v>
      </c>
      <c r="M54" s="88"/>
      <c r="N54" s="147" t="str">
        <f t="shared" si="38"/>
        <v/>
      </c>
      <c r="O54" s="149" t="str">
        <f>IF(N54="","",IF(N54="","",INDEX(vis_Indication,MATCH(P54,Vis,0),2)-INDEX(vis_Indication,MATCH($P$38,Vis,0),2))/$H$14*100)</f>
        <v/>
      </c>
      <c r="P54" s="151" t="str">
        <f>IF(N54="","",INDEX([0]!Vis,MATCH(ROUND(N54/100*$H$14/25.4*20*1000+$P$38,1),[0]!Vis,1)+IF(_xlfn.IFNA(MATCH(ROUND(N54/100*$H$14/25.4*20*1000+$P$38,1),[0]!Vis,0),0),-1,0)))</f>
        <v/>
      </c>
      <c r="Q54" s="77"/>
      <c r="R54" s="144"/>
      <c r="U54" s="30" t="str">
        <f>IF(OR(Q54="",Q54=0),"",$O54*$P$26/Q54)</f>
        <v/>
      </c>
      <c r="V54" s="30" t="str">
        <f>IF(OR(R54="",R54=0),"",$O54*$P$26/R54)</f>
        <v/>
      </c>
      <c r="W54" s="141">
        <f t="shared" si="39"/>
        <v>-2.0002500000000003</v>
      </c>
      <c r="X54" s="95" t="str">
        <f>IF(OR(Q54="",$Y$38=""),"",Q54*$Y$38/$P$26)</f>
        <v/>
      </c>
      <c r="Y54" s="95" t="str">
        <f>IF(OR(R54="",$Y$38=""),"",R54*$Y$38/$P$26)</f>
        <v/>
      </c>
      <c r="Z54" s="141" t="str">
        <f t="shared" si="14"/>
        <v/>
      </c>
      <c r="AA54" s="141" t="str">
        <f t="shared" si="15"/>
        <v/>
      </c>
      <c r="AB54" s="95" t="str">
        <f>IF(OR(Q54="",$AC$38=""),"",IF(X54&gt;0,X54*$AC$38/$P$27,X54))</f>
        <v/>
      </c>
      <c r="AC54" s="95" t="str">
        <f>IF(OR(R54="",$AC$38=""),"",IF(Y54&gt;0,Y54*$AC$38/$P$27,Y54))</f>
        <v/>
      </c>
      <c r="AD54" s="141" t="str">
        <f t="shared" si="16"/>
        <v/>
      </c>
      <c r="AE54" s="141" t="str">
        <f t="shared" si="12"/>
        <v/>
      </c>
      <c r="AF54" s="142" t="str">
        <f t="shared" si="17"/>
        <v/>
      </c>
      <c r="AG54" s="142" t="str">
        <f t="shared" si="18"/>
        <v/>
      </c>
      <c r="AH54" s="19"/>
      <c r="AI54" s="149" t="str">
        <f t="shared" si="37"/>
        <v/>
      </c>
      <c r="AJ54" s="19" t="str">
        <f t="shared" si="40"/>
        <v/>
      </c>
      <c r="AK54" s="71" t="str">
        <f>IF(AI54="","",ROUND(AI54/100*$H$14/25.4*20*1000+$P$38,1))</f>
        <v/>
      </c>
      <c r="AL54" s="89" t="str">
        <f>IF(AI54="","",INDEX([0]!Vis,MATCH(AK54,[0]!Vis,1)+IF(_xlfn.IFNA(MATCH(AK54,[0]!Vis,0),0),-1,0)))</f>
        <v/>
      </c>
      <c r="AM54" s="14" t="str">
        <f>IF(AI54="","",INDEX(vis_Indication,MATCH(AL54,Vis,0),2)-INDEX(vis_Indication,MATCH($P$38,Vis,0),2))</f>
        <v/>
      </c>
      <c r="AN54" s="14" t="str">
        <f t="shared" si="41"/>
        <v/>
      </c>
    </row>
    <row r="55" spans="1:40" ht="12.75" customHeight="1" x14ac:dyDescent="0.3">
      <c r="A55" s="93" t="str">
        <f>IF(N55="","",IF(N55="","",INDEX(vis_Indication,MATCH(P55,Vis,0),2)-INDEX(vis_Indication,MATCH($P$38,Vis,0),2)))</f>
        <v/>
      </c>
      <c r="B55" s="54" t="str">
        <f t="shared" si="29"/>
        <v/>
      </c>
      <c r="C55" s="94" t="str">
        <f t="shared" si="21"/>
        <v/>
      </c>
      <c r="D55" s="133" t="str">
        <f t="shared" si="13"/>
        <v/>
      </c>
      <c r="E55" s="134" t="str">
        <f t="shared" si="2"/>
        <v/>
      </c>
      <c r="F55" s="137" t="str">
        <f t="shared" si="30"/>
        <v/>
      </c>
      <c r="G55" s="137" t="str">
        <f t="shared" si="31"/>
        <v/>
      </c>
      <c r="H55" s="137" t="str">
        <f t="shared" si="32"/>
        <v/>
      </c>
      <c r="I55" s="137" t="str">
        <f t="shared" si="33"/>
        <v/>
      </c>
      <c r="J55" s="41" t="str">
        <f t="shared" si="34"/>
        <v xml:space="preserve"> </v>
      </c>
      <c r="K55" s="41" t="str">
        <f t="shared" si="35"/>
        <v xml:space="preserve"> </v>
      </c>
      <c r="L55" s="41" t="str">
        <f t="shared" si="36"/>
        <v xml:space="preserve"> </v>
      </c>
      <c r="M55" s="88"/>
      <c r="N55" s="147" t="str">
        <f t="shared" si="38"/>
        <v/>
      </c>
      <c r="O55" s="149" t="str">
        <f>IF(N55="","",IF(N55="","",INDEX(vis_Indication,MATCH(P55,Vis,0),2)-INDEX(vis_Indication,MATCH($P$38,Vis,0),2))/$H$14*100)</f>
        <v/>
      </c>
      <c r="P55" s="151" t="str">
        <f>IF(N55="","",INDEX([0]!Vis,MATCH(ROUND(N55/100*$H$14/25.4*20*1000+$P$38,1),[0]!Vis,1)+IF(_xlfn.IFNA(MATCH(ROUND(N55/100*$H$14/25.4*20*1000+$P$38,1),[0]!Vis,0),0),-1,0)))</f>
        <v/>
      </c>
      <c r="Q55" s="77"/>
      <c r="R55" s="144"/>
      <c r="U55" s="30" t="str">
        <f>IF(OR(Q55="",Q55=0),"",$O55*$P$26/Q55)</f>
        <v/>
      </c>
      <c r="V55" s="30" t="str">
        <f>IF(OR(R55="",R55=0),"",$O55*$P$26/R55)</f>
        <v/>
      </c>
      <c r="W55" s="141">
        <f t="shared" si="39"/>
        <v>-2.0002500000000003</v>
      </c>
      <c r="X55" s="95" t="str">
        <f>IF(OR(Q55="",$Y$38=""),"",Q55*$Y$38/$P$26)</f>
        <v/>
      </c>
      <c r="Y55" s="95" t="str">
        <f>IF(OR(R55="",$Y$38=""),"",R55*$Y$38/$P$26)</f>
        <v/>
      </c>
      <c r="Z55" s="141" t="str">
        <f t="shared" si="14"/>
        <v/>
      </c>
      <c r="AA55" s="141" t="str">
        <f t="shared" si="15"/>
        <v/>
      </c>
      <c r="AB55" s="95" t="str">
        <f>IF(OR(Q55="",$AC$38=""),"",IF(X55&gt;0,X55*$AC$38/$P$27,X55))</f>
        <v/>
      </c>
      <c r="AC55" s="95" t="str">
        <f>IF(OR(R55="",$AC$38=""),"",IF(Y55&gt;0,Y55*$AC$38/$P$27,Y55))</f>
        <v/>
      </c>
      <c r="AD55" s="141" t="str">
        <f t="shared" si="16"/>
        <v/>
      </c>
      <c r="AE55" s="141" t="str">
        <f t="shared" si="12"/>
        <v/>
      </c>
      <c r="AF55" s="142" t="str">
        <f t="shared" si="17"/>
        <v/>
      </c>
      <c r="AG55" s="142" t="str">
        <f t="shared" si="18"/>
        <v/>
      </c>
      <c r="AH55" s="19"/>
      <c r="AI55" s="149" t="str">
        <f t="shared" si="37"/>
        <v/>
      </c>
      <c r="AJ55" s="19" t="str">
        <f t="shared" si="40"/>
        <v/>
      </c>
      <c r="AK55" s="71" t="str">
        <f>IF(AI55="","",ROUND(AI55/100*$H$14/25.4*20*1000+$P$38,1))</f>
        <v/>
      </c>
      <c r="AL55" s="89" t="str">
        <f>IF(AI55="","",INDEX([0]!Vis,MATCH(AK55,[0]!Vis,1)+IF(_xlfn.IFNA(MATCH(AK55,[0]!Vis,0),0),-1,0)))</f>
        <v/>
      </c>
      <c r="AM55" s="14" t="str">
        <f>IF(AI55="","",INDEX(vis_Indication,MATCH(AL55,Vis,0),2)-INDEX(vis_Indication,MATCH($P$38,Vis,0),2))</f>
        <v/>
      </c>
      <c r="AN55" s="14" t="str">
        <f t="shared" si="41"/>
        <v/>
      </c>
    </row>
    <row r="56" spans="1:40" ht="12.75" customHeight="1" x14ac:dyDescent="0.3">
      <c r="A56" s="93" t="str">
        <f>IF(N56="","",IF(N56="","",INDEX(vis_Indication,MATCH(P56,Vis,0),2)-INDEX(vis_Indication,MATCH($P$38,Vis,0),2)))</f>
        <v/>
      </c>
      <c r="B56" s="54" t="str">
        <f t="shared" si="29"/>
        <v/>
      </c>
      <c r="C56" s="94" t="str">
        <f t="shared" si="21"/>
        <v/>
      </c>
      <c r="D56" s="133" t="str">
        <f>IF(Q56="","",Q56*$H$14/$H$13/100)</f>
        <v/>
      </c>
      <c r="E56" s="134" t="str">
        <f t="shared" si="2"/>
        <v/>
      </c>
      <c r="F56" s="137" t="str">
        <f t="shared" si="30"/>
        <v/>
      </c>
      <c r="G56" s="137" t="str">
        <f t="shared" si="31"/>
        <v/>
      </c>
      <c r="H56" s="137" t="str">
        <f t="shared" si="32"/>
        <v/>
      </c>
      <c r="I56" s="137" t="str">
        <f t="shared" si="33"/>
        <v/>
      </c>
      <c r="J56" s="41" t="str">
        <f t="shared" si="34"/>
        <v xml:space="preserve"> </v>
      </c>
      <c r="K56" s="41" t="str">
        <f t="shared" si="35"/>
        <v xml:space="preserve"> </v>
      </c>
      <c r="L56" s="41" t="str">
        <f t="shared" si="36"/>
        <v xml:space="preserve"> </v>
      </c>
      <c r="M56" s="88"/>
      <c r="N56" s="150" t="str">
        <f t="shared" si="38"/>
        <v/>
      </c>
      <c r="O56" s="153" t="str">
        <f>IF(N56="","",IF(N56="","",INDEX(vis_Indication,MATCH(P56,Vis,0),2)-INDEX(vis_Indication,MATCH($P$38,Vis,0),2))/$H$14*100)</f>
        <v/>
      </c>
      <c r="P56" s="152" t="str">
        <f>IF(N56="","",INDEX([0]!Vis,MATCH(ROUND(N56/100*$H$14/25.4*20*1000+$P$38,1),[0]!Vis,1)+IF(_xlfn.IFNA(MATCH(ROUND(N56/100*$H$14/25.4*20*1000+$P$38,1),[0]!Vis,0),0),-1,0)))</f>
        <v/>
      </c>
      <c r="Q56" s="145"/>
      <c r="R56" s="146"/>
      <c r="U56" s="30" t="str">
        <f>IF(OR(Q56="",Q56=0),"",$O56*$P$26/Q56)</f>
        <v/>
      </c>
      <c r="V56" s="30" t="str">
        <f>IF(OR(R56="",R56=0),"",$O56*$P$26/R56)</f>
        <v/>
      </c>
      <c r="W56" s="141">
        <f t="shared" si="39"/>
        <v>-2.0002500000000003</v>
      </c>
      <c r="X56" s="95" t="str">
        <f>IF(OR(Q56="",$Y$38=""),"",Q56*$Y$38/$P$26)</f>
        <v/>
      </c>
      <c r="Y56" s="95" t="str">
        <f>IF(OR(R56="",$Y$38=""),"",R56*$Y$38/$P$26)</f>
        <v/>
      </c>
      <c r="Z56" s="141" t="str">
        <f t="shared" si="14"/>
        <v/>
      </c>
      <c r="AA56" s="141" t="str">
        <f t="shared" si="15"/>
        <v/>
      </c>
      <c r="AB56" s="95" t="str">
        <f>IF(OR(Q56="",$AC$38=""),"",IF(X56&gt;0,X56*$AC$38/$P$27,X56))</f>
        <v/>
      </c>
      <c r="AC56" s="95" t="str">
        <f>IF(OR(R56="",$AC$38=""),"",IF(Y56&gt;0,Y56*$AC$38/$P$27,Y56))</f>
        <v/>
      </c>
      <c r="AD56" s="141" t="str">
        <f t="shared" si="16"/>
        <v/>
      </c>
      <c r="AE56" s="141" t="str">
        <f t="shared" si="12"/>
        <v/>
      </c>
      <c r="AF56" s="142" t="str">
        <f>IF(N56="","",O56*0.05)</f>
        <v/>
      </c>
      <c r="AG56" s="142" t="str">
        <f t="shared" ref="AG56" si="42">IF(N56="","",O56*-0.05)</f>
        <v/>
      </c>
      <c r="AH56" s="19"/>
      <c r="AI56" s="149" t="str">
        <f t="shared" si="37"/>
        <v/>
      </c>
      <c r="AJ56" s="19" t="str">
        <f t="shared" si="40"/>
        <v/>
      </c>
      <c r="AK56" s="71" t="str">
        <f>IF(AI56="","",ROUND(AI56/100*$H$14/25.4*20*1000+$P$38,1))</f>
        <v/>
      </c>
      <c r="AL56" s="89" t="str">
        <f>IF(AI56="","",INDEX([0]!Vis,MATCH(AK56,[0]!Vis,1)+IF(_xlfn.IFNA(MATCH(AK56,[0]!Vis,0),0),-1,0)))</f>
        <v/>
      </c>
      <c r="AM56" s="14" t="str">
        <f>IF(AI56="","",INDEX(vis_Indication,MATCH(AL56,Vis,0),2)-INDEX(vis_Indication,MATCH($P$38,Vis,0),2))</f>
        <v/>
      </c>
      <c r="AN56" s="14" t="str">
        <f t="shared" si="41"/>
        <v/>
      </c>
    </row>
    <row r="57" spans="1:40" x14ac:dyDescent="0.3">
      <c r="C57" s="32"/>
      <c r="E57" s="33"/>
      <c r="G57" s="34" t="s">
        <v>10</v>
      </c>
      <c r="I57" s="34"/>
      <c r="J57" s="34"/>
      <c r="K57" s="34"/>
      <c r="AH57" s="19"/>
      <c r="AI57" s="149" t="str">
        <f t="shared" si="37"/>
        <v/>
      </c>
      <c r="AJ57" s="19"/>
    </row>
    <row r="58" spans="1:40" x14ac:dyDescent="0.3">
      <c r="E58" s="30" t="s">
        <v>42</v>
      </c>
      <c r="AH58" s="19"/>
      <c r="AI58" s="19"/>
      <c r="AJ58" s="19"/>
    </row>
    <row r="59" spans="1:40" x14ac:dyDescent="0.3">
      <c r="E59" s="30"/>
      <c r="AH59" s="19"/>
      <c r="AI59" s="19"/>
      <c r="AJ59" s="19"/>
    </row>
  </sheetData>
  <sheetProtection formatCells="0" formatColumns="0" formatRows="0" insertColumns="0" insertRows="0" insertHyperlinks="0" deleteColumns="0" deleteRows="0" sort="0" autoFilter="0" pivotTables="0"/>
  <mergeCells count="36">
    <mergeCell ref="P29:Q29"/>
    <mergeCell ref="P30:Q30"/>
    <mergeCell ref="N38:O38"/>
    <mergeCell ref="C7:D7"/>
    <mergeCell ref="C14:D14"/>
    <mergeCell ref="C8:D8"/>
    <mergeCell ref="C9:D9"/>
    <mergeCell ref="C10:D10"/>
    <mergeCell ref="C11:D11"/>
    <mergeCell ref="C12:D12"/>
    <mergeCell ref="K7:L7"/>
    <mergeCell ref="K8:L8"/>
    <mergeCell ref="K9:L9"/>
    <mergeCell ref="K10:L10"/>
    <mergeCell ref="K11:L11"/>
    <mergeCell ref="B18:G19"/>
    <mergeCell ref="K12:L12"/>
    <mergeCell ref="K13:L13"/>
    <mergeCell ref="J18:L19"/>
    <mergeCell ref="J38:K38"/>
    <mergeCell ref="D38:E38"/>
    <mergeCell ref="F38:G38"/>
    <mergeCell ref="H38:I38"/>
    <mergeCell ref="P10:Q10"/>
    <mergeCell ref="P11:Q11"/>
    <mergeCell ref="P12:Q12"/>
    <mergeCell ref="P7:Q7"/>
    <mergeCell ref="P8:Q8"/>
    <mergeCell ref="P9:Q9"/>
    <mergeCell ref="P32:Q32"/>
    <mergeCell ref="P24:Q24"/>
    <mergeCell ref="P25:Q25"/>
    <mergeCell ref="P26:Q26"/>
    <mergeCell ref="P27:Q27"/>
    <mergeCell ref="P28:Q28"/>
    <mergeCell ref="P31:Q31"/>
  </mergeCells>
  <phoneticPr fontId="0" type="noConversion"/>
  <conditionalFormatting sqref="H40:I56">
    <cfRule type="cellIs" dxfId="5" priority="159" stopIfTrue="1" operator="greaterThan">
      <formula>$I40+0.0002</formula>
    </cfRule>
    <cfRule type="cellIs" dxfId="4" priority="160" stopIfTrue="1" operator="lessThan">
      <formula>$I40-0.0002</formula>
    </cfRule>
  </conditionalFormatting>
  <conditionalFormatting sqref="J40:K56">
    <cfRule type="cellIs" dxfId="3" priority="6" stopIfTrue="1" operator="lessThan">
      <formula>-0.5</formula>
    </cfRule>
    <cfRule type="cellIs" dxfId="2" priority="7" stopIfTrue="1" operator="greaterThan">
      <formula>0.5</formula>
    </cfRule>
  </conditionalFormatting>
  <conditionalFormatting sqref="H22">
    <cfRule type="expression" dxfId="1" priority="2">
      <formula>OR(H22&gt;0.25,H22&lt;-0.25)</formula>
    </cfRule>
  </conditionalFormatting>
  <conditionalFormatting sqref="E22">
    <cfRule type="expression" dxfId="0" priority="1">
      <formula>OR(E22&gt;0.25,E22&lt;-0.25)</formula>
    </cfRule>
  </conditionalFormatting>
  <dataValidations disablePrompts="1" count="2">
    <dataValidation type="list" allowBlank="1" showInputMessage="1" showErrorMessage="1" sqref="H12 W12" xr:uid="{00000000-0002-0000-0000-000000000000}">
      <formula1>"inches,mm"</formula1>
    </dataValidation>
    <dataValidation type="list" allowBlank="1" showInputMessage="1" showErrorMessage="1" sqref="H15 W15" xr:uid="{6293FDC3-DCBF-4F21-84B1-AB89751D621D}">
      <formula1>"as found,New, Cursory"</formula1>
    </dataValidation>
  </dataValidations>
  <pageMargins left="0.25" right="0" top="0.2" bottom="0" header="0.25" footer="0.25"/>
  <pageSetup orientation="portrait" r:id="rId1"/>
  <headerFooter alignWithMargins="0">
    <oddFooter>&amp;L&amp;"Small Fonts,Regular"&amp;8Form No. 65-01-50 2/17/2019&amp;R&amp;"Small Fonts,Regular"&amp;8&amp;F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D59A5-ABFF-46BD-B1D8-695722123A1D}">
  <dimension ref="B9:U66"/>
  <sheetViews>
    <sheetView topLeftCell="A25" workbookViewId="0">
      <selection activeCell="B14" sqref="B14"/>
    </sheetView>
  </sheetViews>
  <sheetFormatPr baseColWidth="10" defaultRowHeight="12.75" x14ac:dyDescent="0.2"/>
  <cols>
    <col min="1" max="3" width="11.42578125" customWidth="1"/>
    <col min="4" max="4" width="1.42578125" customWidth="1"/>
    <col min="5" max="8" width="11.42578125" customWidth="1"/>
    <col min="9" max="11" width="11.85546875" customWidth="1"/>
    <col min="12" max="12" width="2.5703125" customWidth="1"/>
    <col min="13" max="15" width="11.85546875" customWidth="1"/>
    <col min="19" max="19" width="2.42578125" customWidth="1"/>
  </cols>
  <sheetData>
    <row r="9" spans="2:21" ht="27" customHeight="1" x14ac:dyDescent="0.2">
      <c r="B9" s="86">
        <f>'Strain Ext Cal'!W7</f>
        <v>23817</v>
      </c>
    </row>
    <row r="11" spans="2:21" x14ac:dyDescent="0.2">
      <c r="I11" s="73"/>
      <c r="J11" s="73"/>
      <c r="K11" s="72"/>
    </row>
    <row r="13" spans="2:21" x14ac:dyDescent="0.2">
      <c r="B13" s="84"/>
      <c r="J13">
        <v>23817</v>
      </c>
      <c r="Q13">
        <v>23818</v>
      </c>
    </row>
    <row r="14" spans="2:21" ht="14.25" x14ac:dyDescent="0.2">
      <c r="B14" s="140">
        <f>INDEX(14:14,MATCH($B$9,$13:$13,0))</f>
        <v>1.27E-4</v>
      </c>
      <c r="I14" s="24" t="s">
        <v>34</v>
      </c>
      <c r="J14">
        <v>1.27E-4</v>
      </c>
      <c r="Q14">
        <v>1E-4</v>
      </c>
    </row>
    <row r="15" spans="2:21" x14ac:dyDescent="0.2">
      <c r="B15" t="s">
        <v>65</v>
      </c>
      <c r="C15" t="s">
        <v>67</v>
      </c>
      <c r="E15" t="s">
        <v>66</v>
      </c>
      <c r="F15" t="s">
        <v>68</v>
      </c>
      <c r="J15" t="s">
        <v>65</v>
      </c>
      <c r="K15" t="s">
        <v>67</v>
      </c>
      <c r="M15" t="s">
        <v>66</v>
      </c>
      <c r="N15" t="s">
        <v>68</v>
      </c>
      <c r="Q15" t="s">
        <v>65</v>
      </c>
      <c r="R15" t="s">
        <v>67</v>
      </c>
      <c r="T15" s="84" t="s">
        <v>74</v>
      </c>
      <c r="U15" t="s">
        <v>68</v>
      </c>
    </row>
    <row r="16" spans="2:21" x14ac:dyDescent="0.2">
      <c r="B16" s="91">
        <f t="shared" ref="B14:B66" si="0">INDEX(16:16,MATCH($B$9,$13:$13,0))</f>
        <v>0</v>
      </c>
      <c r="C16" s="92">
        <f t="shared" ref="C16:C66" si="1">INDEX(16:16,MATCH($B$9,$13:$13,0)+1)</f>
        <v>0</v>
      </c>
      <c r="D16" s="72"/>
      <c r="E16" s="76">
        <f>INDEX(16:16,MATCH($B$9,$13:$13,0)+3)</f>
        <v>0</v>
      </c>
      <c r="F16">
        <f>INDEX(16:16,MATCH($B$9,$13:$13,0)+4)</f>
        <v>0</v>
      </c>
      <c r="G16" s="85"/>
      <c r="J16" s="73"/>
      <c r="K16" s="72"/>
      <c r="L16" s="72"/>
      <c r="M16" s="76"/>
      <c r="Q16" s="73">
        <v>0</v>
      </c>
      <c r="R16" s="72">
        <v>0</v>
      </c>
      <c r="S16" s="72"/>
      <c r="T16" s="76"/>
      <c r="U16" s="72">
        <f t="shared" ref="U16" si="2">R16</f>
        <v>0</v>
      </c>
    </row>
    <row r="17" spans="2:21" x14ac:dyDescent="0.2">
      <c r="B17" s="91">
        <f t="shared" si="0"/>
        <v>0</v>
      </c>
      <c r="C17" s="92">
        <f t="shared" si="1"/>
        <v>0</v>
      </c>
      <c r="D17" s="72"/>
      <c r="E17" s="76">
        <f t="shared" ref="E17:E66" si="3">INDEX(17:17,MATCH($B$9,$13:$13,0)+3)</f>
        <v>0</v>
      </c>
      <c r="F17">
        <f t="shared" ref="F17:F66" si="4">INDEX(17:17,MATCH($B$9,$13:$13,0)+4)</f>
        <v>0</v>
      </c>
      <c r="G17" s="85"/>
      <c r="J17" s="73"/>
      <c r="K17" s="72"/>
      <c r="L17" s="72"/>
      <c r="M17" s="76"/>
      <c r="Q17" s="73">
        <v>50</v>
      </c>
      <c r="R17" s="72">
        <f>Q17/1000</f>
        <v>0.05</v>
      </c>
      <c r="S17" s="72"/>
      <c r="T17" s="83"/>
      <c r="U17" s="72">
        <f>R17</f>
        <v>0.05</v>
      </c>
    </row>
    <row r="18" spans="2:21" ht="15" x14ac:dyDescent="0.25">
      <c r="B18" s="91">
        <f t="shared" si="0"/>
        <v>0</v>
      </c>
      <c r="C18" s="92">
        <f t="shared" si="1"/>
        <v>0</v>
      </c>
      <c r="D18" s="72"/>
      <c r="E18" s="76">
        <f t="shared" si="3"/>
        <v>0</v>
      </c>
      <c r="F18">
        <f t="shared" si="4"/>
        <v>0</v>
      </c>
      <c r="G18" s="85"/>
      <c r="J18" s="75"/>
      <c r="K18" s="74"/>
      <c r="L18" s="72"/>
      <c r="M18" s="76"/>
      <c r="Q18" s="73">
        <v>100</v>
      </c>
      <c r="R18" s="72">
        <f>Q18/1000</f>
        <v>0.1</v>
      </c>
      <c r="S18" s="72"/>
      <c r="T18" s="83"/>
      <c r="U18" s="72">
        <f>R18</f>
        <v>0.1</v>
      </c>
    </row>
    <row r="19" spans="2:21" ht="15" x14ac:dyDescent="0.25">
      <c r="B19" s="91">
        <f t="shared" si="0"/>
        <v>0</v>
      </c>
      <c r="C19" s="92">
        <f t="shared" si="1"/>
        <v>0</v>
      </c>
      <c r="D19" s="72"/>
      <c r="E19" s="76">
        <f t="shared" si="3"/>
        <v>0</v>
      </c>
      <c r="F19">
        <f t="shared" si="4"/>
        <v>0</v>
      </c>
      <c r="G19" s="85"/>
      <c r="J19" s="73"/>
      <c r="K19" s="74"/>
      <c r="L19" s="72"/>
      <c r="M19" s="76"/>
      <c r="Q19" s="73">
        <v>150</v>
      </c>
      <c r="R19" s="72">
        <f t="shared" ref="R19:R66" si="5">Q19/1000</f>
        <v>0.15</v>
      </c>
      <c r="S19" s="72"/>
      <c r="T19" s="83"/>
      <c r="U19" s="72">
        <f t="shared" ref="U19:U31" si="6">R19</f>
        <v>0.15</v>
      </c>
    </row>
    <row r="20" spans="2:21" ht="15" x14ac:dyDescent="0.25">
      <c r="B20" s="91">
        <f t="shared" si="0"/>
        <v>0</v>
      </c>
      <c r="C20" s="92">
        <f t="shared" si="1"/>
        <v>0</v>
      </c>
      <c r="D20" s="72"/>
      <c r="E20" s="76">
        <f t="shared" si="3"/>
        <v>0</v>
      </c>
      <c r="F20">
        <f t="shared" si="4"/>
        <v>0</v>
      </c>
      <c r="G20" s="85"/>
      <c r="J20" s="75"/>
      <c r="K20" s="72"/>
      <c r="L20" s="72"/>
      <c r="M20" s="76"/>
      <c r="Q20" s="73">
        <v>200</v>
      </c>
      <c r="R20" s="72">
        <f t="shared" si="5"/>
        <v>0.2</v>
      </c>
      <c r="S20" s="72"/>
      <c r="T20" s="83"/>
      <c r="U20" s="72">
        <f t="shared" si="6"/>
        <v>0.2</v>
      </c>
    </row>
    <row r="21" spans="2:21" ht="15" x14ac:dyDescent="0.25">
      <c r="B21" s="91">
        <f t="shared" si="0"/>
        <v>0</v>
      </c>
      <c r="C21" s="92">
        <f t="shared" si="1"/>
        <v>0</v>
      </c>
      <c r="D21" s="72"/>
      <c r="E21" s="76">
        <f t="shared" si="3"/>
        <v>0</v>
      </c>
      <c r="F21">
        <f t="shared" si="4"/>
        <v>0</v>
      </c>
      <c r="G21" s="85"/>
      <c r="J21" s="75"/>
      <c r="K21" s="74"/>
      <c r="L21" s="72"/>
      <c r="M21" s="76"/>
      <c r="Q21" s="73">
        <v>250</v>
      </c>
      <c r="R21" s="72">
        <f t="shared" si="5"/>
        <v>0.25</v>
      </c>
      <c r="S21" s="72"/>
      <c r="T21" s="83"/>
      <c r="U21" s="72">
        <f t="shared" si="6"/>
        <v>0.25</v>
      </c>
    </row>
    <row r="22" spans="2:21" ht="15" x14ac:dyDescent="0.25">
      <c r="B22" s="91">
        <f t="shared" si="0"/>
        <v>0</v>
      </c>
      <c r="C22" s="92">
        <f t="shared" si="1"/>
        <v>0</v>
      </c>
      <c r="D22" s="72"/>
      <c r="E22" s="76">
        <f t="shared" si="3"/>
        <v>0</v>
      </c>
      <c r="F22">
        <f t="shared" si="4"/>
        <v>0</v>
      </c>
      <c r="G22" s="85"/>
      <c r="J22" s="73"/>
      <c r="K22" s="74"/>
      <c r="L22" s="72"/>
      <c r="M22" s="76"/>
      <c r="Q22" s="73">
        <v>300</v>
      </c>
      <c r="R22" s="72">
        <f t="shared" si="5"/>
        <v>0.3</v>
      </c>
      <c r="S22" s="72"/>
      <c r="T22" s="83"/>
      <c r="U22" s="72">
        <f t="shared" si="6"/>
        <v>0.3</v>
      </c>
    </row>
    <row r="23" spans="2:21" ht="15" x14ac:dyDescent="0.25">
      <c r="B23" s="91">
        <f t="shared" si="0"/>
        <v>0</v>
      </c>
      <c r="C23" s="92">
        <f t="shared" si="1"/>
        <v>0</v>
      </c>
      <c r="D23" s="72"/>
      <c r="E23" s="76">
        <f t="shared" si="3"/>
        <v>0</v>
      </c>
      <c r="F23">
        <f t="shared" si="4"/>
        <v>0</v>
      </c>
      <c r="G23" s="85"/>
      <c r="J23" s="75"/>
      <c r="K23" s="72"/>
      <c r="L23" s="72"/>
      <c r="M23" s="76"/>
      <c r="Q23" s="73">
        <v>350</v>
      </c>
      <c r="R23" s="72">
        <f t="shared" si="5"/>
        <v>0.35</v>
      </c>
      <c r="S23" s="72"/>
      <c r="T23" s="83"/>
      <c r="U23" s="72">
        <f t="shared" si="6"/>
        <v>0.35</v>
      </c>
    </row>
    <row r="24" spans="2:21" ht="15" x14ac:dyDescent="0.25">
      <c r="B24" s="91">
        <f t="shared" si="0"/>
        <v>0</v>
      </c>
      <c r="C24" s="92">
        <f t="shared" si="1"/>
        <v>0</v>
      </c>
      <c r="D24" s="72"/>
      <c r="E24" s="76">
        <f t="shared" si="3"/>
        <v>0</v>
      </c>
      <c r="F24">
        <f t="shared" si="4"/>
        <v>0</v>
      </c>
      <c r="G24" s="85"/>
      <c r="J24" s="75"/>
      <c r="K24" s="74"/>
      <c r="L24" s="72"/>
      <c r="M24" s="76"/>
      <c r="Q24" s="73">
        <v>400</v>
      </c>
      <c r="R24" s="72">
        <f t="shared" si="5"/>
        <v>0.4</v>
      </c>
      <c r="S24" s="72"/>
      <c r="T24" s="83"/>
      <c r="U24" s="72">
        <f t="shared" si="6"/>
        <v>0.4</v>
      </c>
    </row>
    <row r="25" spans="2:21" ht="15" x14ac:dyDescent="0.25">
      <c r="B25" s="91">
        <f t="shared" si="0"/>
        <v>0</v>
      </c>
      <c r="C25" s="92">
        <f t="shared" si="1"/>
        <v>0</v>
      </c>
      <c r="D25" s="72"/>
      <c r="E25" s="76">
        <f t="shared" si="3"/>
        <v>0</v>
      </c>
      <c r="F25">
        <f t="shared" si="4"/>
        <v>0</v>
      </c>
      <c r="G25" s="85"/>
      <c r="J25" s="73"/>
      <c r="K25" s="74"/>
      <c r="L25" s="72"/>
      <c r="M25" s="76"/>
      <c r="Q25" s="73">
        <v>450</v>
      </c>
      <c r="R25" s="72">
        <f t="shared" si="5"/>
        <v>0.45</v>
      </c>
      <c r="S25" s="72"/>
      <c r="T25" s="83"/>
      <c r="U25" s="72">
        <f t="shared" si="6"/>
        <v>0.45</v>
      </c>
    </row>
    <row r="26" spans="2:21" ht="15" x14ac:dyDescent="0.25">
      <c r="B26" s="91">
        <f t="shared" si="0"/>
        <v>0</v>
      </c>
      <c r="C26" s="92">
        <f t="shared" si="1"/>
        <v>0</v>
      </c>
      <c r="D26" s="72"/>
      <c r="E26" s="76">
        <f t="shared" si="3"/>
        <v>0</v>
      </c>
      <c r="F26">
        <f t="shared" si="4"/>
        <v>0</v>
      </c>
      <c r="G26" s="85"/>
      <c r="J26" s="75"/>
      <c r="K26" s="72"/>
      <c r="L26" s="72"/>
      <c r="M26" s="76"/>
      <c r="Q26" s="73">
        <v>500</v>
      </c>
      <c r="R26" s="72">
        <f t="shared" si="5"/>
        <v>0.5</v>
      </c>
      <c r="S26" s="72"/>
      <c r="T26" s="83"/>
      <c r="U26" s="72">
        <f t="shared" si="6"/>
        <v>0.5</v>
      </c>
    </row>
    <row r="27" spans="2:21" ht="15" x14ac:dyDescent="0.25">
      <c r="B27" s="91">
        <f t="shared" si="0"/>
        <v>0</v>
      </c>
      <c r="C27" s="92">
        <f t="shared" si="1"/>
        <v>0</v>
      </c>
      <c r="D27" s="72"/>
      <c r="E27" s="76">
        <f t="shared" si="3"/>
        <v>0</v>
      </c>
      <c r="F27">
        <f t="shared" si="4"/>
        <v>0</v>
      </c>
      <c r="G27" s="85"/>
      <c r="J27" s="75"/>
      <c r="K27" s="74"/>
      <c r="L27" s="72"/>
      <c r="M27" s="76"/>
      <c r="Q27" s="73">
        <v>550</v>
      </c>
      <c r="R27" s="72">
        <f t="shared" si="5"/>
        <v>0.55000000000000004</v>
      </c>
      <c r="S27" s="72"/>
      <c r="T27" s="83"/>
      <c r="U27" s="72">
        <f t="shared" si="6"/>
        <v>0.55000000000000004</v>
      </c>
    </row>
    <row r="28" spans="2:21" ht="15" x14ac:dyDescent="0.25">
      <c r="B28" s="91">
        <f t="shared" si="0"/>
        <v>0</v>
      </c>
      <c r="C28" s="92">
        <f t="shared" si="1"/>
        <v>0</v>
      </c>
      <c r="D28" s="72"/>
      <c r="E28" s="76">
        <f t="shared" si="3"/>
        <v>0</v>
      </c>
      <c r="F28">
        <f t="shared" si="4"/>
        <v>0</v>
      </c>
      <c r="G28" s="85"/>
      <c r="J28" s="73"/>
      <c r="K28" s="74"/>
      <c r="L28" s="72"/>
      <c r="M28" s="76"/>
      <c r="Q28" s="73">
        <v>600</v>
      </c>
      <c r="R28" s="72">
        <f t="shared" si="5"/>
        <v>0.6</v>
      </c>
      <c r="S28" s="72"/>
      <c r="T28" s="83"/>
      <c r="U28" s="72">
        <f t="shared" si="6"/>
        <v>0.6</v>
      </c>
    </row>
    <row r="29" spans="2:21" ht="15" x14ac:dyDescent="0.25">
      <c r="B29" s="91">
        <f t="shared" si="0"/>
        <v>0</v>
      </c>
      <c r="C29" s="92">
        <f t="shared" si="1"/>
        <v>0</v>
      </c>
      <c r="D29" s="72"/>
      <c r="E29" s="76">
        <f t="shared" si="3"/>
        <v>0</v>
      </c>
      <c r="F29">
        <f t="shared" si="4"/>
        <v>0</v>
      </c>
      <c r="G29" s="85"/>
      <c r="J29" s="75"/>
      <c r="K29" s="72"/>
      <c r="L29" s="72"/>
      <c r="M29" s="76"/>
      <c r="Q29" s="73">
        <v>650</v>
      </c>
      <c r="R29" s="72">
        <f t="shared" si="5"/>
        <v>0.65</v>
      </c>
      <c r="S29" s="72"/>
      <c r="T29" s="83"/>
      <c r="U29" s="72">
        <f t="shared" si="6"/>
        <v>0.65</v>
      </c>
    </row>
    <row r="30" spans="2:21" ht="15" x14ac:dyDescent="0.25">
      <c r="B30" s="91">
        <f t="shared" si="0"/>
        <v>0</v>
      </c>
      <c r="C30" s="92">
        <f t="shared" si="1"/>
        <v>0</v>
      </c>
      <c r="D30" s="72"/>
      <c r="E30" s="76">
        <f t="shared" si="3"/>
        <v>0</v>
      </c>
      <c r="F30">
        <f t="shared" si="4"/>
        <v>0</v>
      </c>
      <c r="G30" s="85"/>
      <c r="J30" s="75"/>
      <c r="K30" s="74"/>
      <c r="L30" s="72"/>
      <c r="M30" s="76"/>
      <c r="Q30" s="73">
        <v>700</v>
      </c>
      <c r="R30" s="72">
        <f t="shared" si="5"/>
        <v>0.7</v>
      </c>
      <c r="S30" s="72"/>
      <c r="T30" s="83"/>
      <c r="U30" s="72">
        <f t="shared" si="6"/>
        <v>0.7</v>
      </c>
    </row>
    <row r="31" spans="2:21" ht="15" x14ac:dyDescent="0.25">
      <c r="B31" s="91">
        <f t="shared" si="0"/>
        <v>0</v>
      </c>
      <c r="C31" s="92">
        <f t="shared" si="1"/>
        <v>0</v>
      </c>
      <c r="D31" s="72"/>
      <c r="E31" s="76">
        <f t="shared" si="3"/>
        <v>0</v>
      </c>
      <c r="F31">
        <f t="shared" si="4"/>
        <v>0</v>
      </c>
      <c r="G31" s="85"/>
      <c r="J31" s="73"/>
      <c r="K31" s="74"/>
      <c r="L31" s="72"/>
      <c r="M31" s="76"/>
      <c r="Q31" s="73">
        <v>750</v>
      </c>
      <c r="R31" s="72">
        <f t="shared" si="5"/>
        <v>0.75</v>
      </c>
      <c r="S31" s="72"/>
      <c r="T31" s="83"/>
      <c r="U31" s="72">
        <f t="shared" si="6"/>
        <v>0.75</v>
      </c>
    </row>
    <row r="32" spans="2:21" ht="15" x14ac:dyDescent="0.25">
      <c r="B32" s="91">
        <f t="shared" si="0"/>
        <v>0</v>
      </c>
      <c r="C32" s="92">
        <f t="shared" si="1"/>
        <v>0</v>
      </c>
      <c r="D32" s="72"/>
      <c r="E32" s="76">
        <f t="shared" si="3"/>
        <v>0</v>
      </c>
      <c r="F32">
        <f t="shared" si="4"/>
        <v>0</v>
      </c>
      <c r="G32" s="85"/>
      <c r="J32" s="75"/>
      <c r="K32" s="72"/>
      <c r="L32" s="72"/>
      <c r="M32" s="76"/>
      <c r="Q32" s="73">
        <v>800</v>
      </c>
      <c r="R32" s="72">
        <f t="shared" si="5"/>
        <v>0.8</v>
      </c>
      <c r="S32" s="72"/>
      <c r="T32" s="83"/>
      <c r="U32" s="72">
        <f t="shared" ref="U32:U66" si="7">R32</f>
        <v>0.8</v>
      </c>
    </row>
    <row r="33" spans="2:21" ht="15" x14ac:dyDescent="0.25">
      <c r="B33" s="91">
        <f t="shared" si="0"/>
        <v>0</v>
      </c>
      <c r="C33" s="92">
        <f t="shared" si="1"/>
        <v>0</v>
      </c>
      <c r="D33" s="72"/>
      <c r="E33" s="76">
        <f t="shared" si="3"/>
        <v>0</v>
      </c>
      <c r="F33">
        <f t="shared" si="4"/>
        <v>0</v>
      </c>
      <c r="G33" s="85"/>
      <c r="J33" s="75"/>
      <c r="K33" s="74"/>
      <c r="L33" s="72"/>
      <c r="M33" s="76"/>
      <c r="Q33" s="73">
        <v>850</v>
      </c>
      <c r="R33" s="72">
        <f t="shared" si="5"/>
        <v>0.85</v>
      </c>
      <c r="S33" s="72"/>
      <c r="T33" s="83"/>
      <c r="U33" s="72">
        <f t="shared" si="7"/>
        <v>0.85</v>
      </c>
    </row>
    <row r="34" spans="2:21" ht="15" x14ac:dyDescent="0.25">
      <c r="B34" s="91">
        <f t="shared" si="0"/>
        <v>0</v>
      </c>
      <c r="C34" s="92">
        <f t="shared" si="1"/>
        <v>0</v>
      </c>
      <c r="D34" s="72"/>
      <c r="E34" s="76">
        <f t="shared" si="3"/>
        <v>0</v>
      </c>
      <c r="F34">
        <f t="shared" si="4"/>
        <v>0</v>
      </c>
      <c r="G34" s="85"/>
      <c r="J34" s="73"/>
      <c r="K34" s="74"/>
      <c r="L34" s="72"/>
      <c r="M34" s="76"/>
      <c r="Q34" s="73">
        <v>900</v>
      </c>
      <c r="R34" s="72">
        <f t="shared" si="5"/>
        <v>0.9</v>
      </c>
      <c r="S34" s="72"/>
      <c r="T34" s="83"/>
      <c r="U34" s="72">
        <f t="shared" si="7"/>
        <v>0.9</v>
      </c>
    </row>
    <row r="35" spans="2:21" ht="15" x14ac:dyDescent="0.25">
      <c r="B35" s="91">
        <f t="shared" si="0"/>
        <v>0</v>
      </c>
      <c r="C35" s="92">
        <f t="shared" si="1"/>
        <v>0</v>
      </c>
      <c r="D35" s="72"/>
      <c r="E35" s="76">
        <f t="shared" si="3"/>
        <v>0</v>
      </c>
      <c r="F35">
        <f t="shared" si="4"/>
        <v>0</v>
      </c>
      <c r="G35" s="85"/>
      <c r="J35" s="75"/>
      <c r="K35" s="72"/>
      <c r="L35" s="72"/>
      <c r="M35" s="76"/>
      <c r="Q35" s="73">
        <v>950</v>
      </c>
      <c r="R35" s="72">
        <f t="shared" si="5"/>
        <v>0.95</v>
      </c>
      <c r="S35" s="72"/>
      <c r="T35" s="83"/>
      <c r="U35" s="72">
        <f t="shared" si="7"/>
        <v>0.95</v>
      </c>
    </row>
    <row r="36" spans="2:21" ht="15" x14ac:dyDescent="0.25">
      <c r="B36" s="91">
        <f t="shared" si="0"/>
        <v>0</v>
      </c>
      <c r="C36" s="92">
        <f t="shared" si="1"/>
        <v>0</v>
      </c>
      <c r="D36" s="72"/>
      <c r="E36" s="76">
        <f t="shared" si="3"/>
        <v>0</v>
      </c>
      <c r="F36">
        <f t="shared" si="4"/>
        <v>0</v>
      </c>
      <c r="G36" s="85"/>
      <c r="J36" s="75"/>
      <c r="K36" s="72"/>
      <c r="L36" s="72"/>
      <c r="M36" s="76"/>
      <c r="Q36" s="73">
        <v>1000</v>
      </c>
      <c r="R36" s="72">
        <f t="shared" si="5"/>
        <v>1</v>
      </c>
      <c r="S36" s="72"/>
      <c r="T36" s="83"/>
      <c r="U36" s="72">
        <f t="shared" si="7"/>
        <v>1</v>
      </c>
    </row>
    <row r="37" spans="2:21" x14ac:dyDescent="0.2">
      <c r="B37" s="91">
        <f t="shared" si="0"/>
        <v>0</v>
      </c>
      <c r="C37" s="92">
        <f t="shared" si="1"/>
        <v>0</v>
      </c>
      <c r="D37" s="72"/>
      <c r="E37" s="76">
        <f t="shared" si="3"/>
        <v>0</v>
      </c>
      <c r="F37">
        <f t="shared" si="4"/>
        <v>0</v>
      </c>
      <c r="G37" s="85"/>
      <c r="J37" s="73"/>
      <c r="K37" s="72"/>
      <c r="L37" s="72"/>
      <c r="M37" s="76"/>
      <c r="Q37" s="73">
        <v>1050</v>
      </c>
      <c r="R37" s="72">
        <f t="shared" si="5"/>
        <v>1.05</v>
      </c>
      <c r="S37" s="72"/>
      <c r="T37" s="83"/>
      <c r="U37" s="72">
        <f t="shared" si="7"/>
        <v>1.05</v>
      </c>
    </row>
    <row r="38" spans="2:21" x14ac:dyDescent="0.2">
      <c r="B38" s="91">
        <f t="shared" si="0"/>
        <v>0</v>
      </c>
      <c r="C38" s="92">
        <f t="shared" si="1"/>
        <v>0</v>
      </c>
      <c r="D38" s="72"/>
      <c r="E38" s="76">
        <f t="shared" si="3"/>
        <v>0</v>
      </c>
      <c r="F38">
        <f t="shared" si="4"/>
        <v>0</v>
      </c>
      <c r="G38" s="85"/>
      <c r="J38" s="73"/>
      <c r="L38" s="72"/>
      <c r="M38" s="76"/>
      <c r="Q38" s="73">
        <v>1100</v>
      </c>
      <c r="R38" s="72">
        <f t="shared" si="5"/>
        <v>1.1000000000000001</v>
      </c>
      <c r="S38" s="72"/>
      <c r="T38" s="83"/>
      <c r="U38" s="72">
        <f t="shared" si="7"/>
        <v>1.1000000000000001</v>
      </c>
    </row>
    <row r="39" spans="2:21" x14ac:dyDescent="0.2">
      <c r="B39" s="91">
        <f t="shared" si="0"/>
        <v>0</v>
      </c>
      <c r="C39" s="92">
        <f t="shared" si="1"/>
        <v>0</v>
      </c>
      <c r="D39" s="72"/>
      <c r="E39" s="76">
        <f t="shared" si="3"/>
        <v>0</v>
      </c>
      <c r="F39">
        <f t="shared" si="4"/>
        <v>0</v>
      </c>
      <c r="G39" s="85"/>
      <c r="J39" s="73"/>
      <c r="L39" s="72"/>
      <c r="M39" s="76"/>
      <c r="Q39" s="73">
        <v>1150</v>
      </c>
      <c r="R39" s="72">
        <f t="shared" si="5"/>
        <v>1.1499999999999999</v>
      </c>
      <c r="S39" s="72"/>
      <c r="T39" s="83"/>
      <c r="U39" s="72">
        <f t="shared" si="7"/>
        <v>1.1499999999999999</v>
      </c>
    </row>
    <row r="40" spans="2:21" ht="15" x14ac:dyDescent="0.25">
      <c r="B40" s="91">
        <f t="shared" si="0"/>
        <v>0</v>
      </c>
      <c r="C40" s="92">
        <f t="shared" si="1"/>
        <v>0</v>
      </c>
      <c r="D40" s="72"/>
      <c r="E40" s="76">
        <f t="shared" si="3"/>
        <v>0</v>
      </c>
      <c r="F40">
        <f t="shared" si="4"/>
        <v>0</v>
      </c>
      <c r="G40" s="85"/>
      <c r="J40" s="73"/>
      <c r="K40" s="74"/>
      <c r="L40" s="72"/>
      <c r="M40" s="76"/>
      <c r="Q40" s="73">
        <v>1200</v>
      </c>
      <c r="R40" s="72">
        <f t="shared" si="5"/>
        <v>1.2</v>
      </c>
      <c r="S40" s="72"/>
      <c r="T40" s="83"/>
      <c r="U40" s="72">
        <f t="shared" si="7"/>
        <v>1.2</v>
      </c>
    </row>
    <row r="41" spans="2:21" ht="15" x14ac:dyDescent="0.25">
      <c r="B41" s="91">
        <f t="shared" si="0"/>
        <v>0</v>
      </c>
      <c r="C41" s="92">
        <f t="shared" si="1"/>
        <v>0</v>
      </c>
      <c r="D41" s="72"/>
      <c r="E41" s="76">
        <f t="shared" si="3"/>
        <v>0</v>
      </c>
      <c r="F41">
        <f t="shared" si="4"/>
        <v>0</v>
      </c>
      <c r="G41" s="85"/>
      <c r="J41" s="73"/>
      <c r="K41" s="74"/>
      <c r="L41" s="72"/>
      <c r="M41" s="76"/>
      <c r="Q41" s="73">
        <v>1250</v>
      </c>
      <c r="R41" s="72">
        <f t="shared" si="5"/>
        <v>1.25</v>
      </c>
      <c r="S41" s="72"/>
      <c r="T41" s="83"/>
      <c r="U41" s="72">
        <f t="shared" si="7"/>
        <v>1.25</v>
      </c>
    </row>
    <row r="42" spans="2:21" x14ac:dyDescent="0.2">
      <c r="B42" s="91">
        <f t="shared" si="0"/>
        <v>0</v>
      </c>
      <c r="C42" s="92">
        <f t="shared" si="1"/>
        <v>0</v>
      </c>
      <c r="D42" s="72"/>
      <c r="E42" s="76">
        <f t="shared" si="3"/>
        <v>0</v>
      </c>
      <c r="F42">
        <f t="shared" si="4"/>
        <v>0</v>
      </c>
      <c r="G42" s="85"/>
      <c r="J42" s="73"/>
      <c r="K42" s="72"/>
      <c r="L42" s="72"/>
      <c r="M42" s="76"/>
      <c r="Q42" s="73">
        <v>1300</v>
      </c>
      <c r="R42" s="72">
        <f t="shared" si="5"/>
        <v>1.3</v>
      </c>
      <c r="S42" s="72"/>
      <c r="T42" s="83"/>
      <c r="U42" s="72">
        <f t="shared" si="7"/>
        <v>1.3</v>
      </c>
    </row>
    <row r="43" spans="2:21" x14ac:dyDescent="0.2">
      <c r="B43" s="91">
        <f t="shared" si="0"/>
        <v>0</v>
      </c>
      <c r="C43" s="92">
        <f t="shared" si="1"/>
        <v>0</v>
      </c>
      <c r="D43" s="72"/>
      <c r="E43" s="76">
        <f t="shared" si="3"/>
        <v>-0.113</v>
      </c>
      <c r="F43">
        <f t="shared" si="4"/>
        <v>-6.7799999999999996E-3</v>
      </c>
      <c r="G43" s="85"/>
      <c r="J43" s="73">
        <v>0</v>
      </c>
      <c r="K43" s="72">
        <v>0</v>
      </c>
      <c r="L43" s="72"/>
      <c r="M43" s="76">
        <v>-0.113</v>
      </c>
      <c r="N43">
        <f t="shared" ref="N43:N66" si="8">M43*0.06-$M$16*0.06</f>
        <v>-6.7799999999999996E-3</v>
      </c>
      <c r="Q43" s="73">
        <v>1350</v>
      </c>
      <c r="R43" s="72">
        <f t="shared" si="5"/>
        <v>1.35</v>
      </c>
      <c r="S43" s="72"/>
      <c r="T43" s="83"/>
      <c r="U43" s="72">
        <f t="shared" si="7"/>
        <v>1.35</v>
      </c>
    </row>
    <row r="44" spans="2:21" x14ac:dyDescent="0.2">
      <c r="B44" s="91">
        <f t="shared" si="0"/>
        <v>100</v>
      </c>
      <c r="C44" s="92">
        <f t="shared" si="1"/>
        <v>0.127</v>
      </c>
      <c r="D44" s="72"/>
      <c r="E44" s="76">
        <f t="shared" si="3"/>
        <v>-6.3388333333333344</v>
      </c>
      <c r="F44">
        <f t="shared" si="4"/>
        <v>-0.38033000000000006</v>
      </c>
      <c r="G44" s="85"/>
      <c r="J44" s="73">
        <v>100</v>
      </c>
      <c r="K44" s="72">
        <v>0.127</v>
      </c>
      <c r="L44" s="72"/>
      <c r="M44" s="76">
        <v>-6.3388333333333344</v>
      </c>
      <c r="N44">
        <f t="shared" si="8"/>
        <v>-0.38033000000000006</v>
      </c>
      <c r="Q44" s="73">
        <v>1400</v>
      </c>
      <c r="R44" s="72">
        <f t="shared" si="5"/>
        <v>1.4</v>
      </c>
      <c r="S44" s="72"/>
      <c r="T44" s="83"/>
      <c r="U44" s="72">
        <f t="shared" si="7"/>
        <v>1.4</v>
      </c>
    </row>
    <row r="45" spans="2:21" ht="15" x14ac:dyDescent="0.25">
      <c r="B45" s="91">
        <f t="shared" si="0"/>
        <v>163.80000000000001</v>
      </c>
      <c r="C45" s="92">
        <f t="shared" si="1"/>
        <v>0.20802599999999999</v>
      </c>
      <c r="D45" s="72"/>
      <c r="E45" s="76">
        <f t="shared" si="3"/>
        <v>-4.9800000000000004</v>
      </c>
      <c r="F45">
        <f t="shared" si="4"/>
        <v>-0.29880000000000001</v>
      </c>
      <c r="G45" s="85"/>
      <c r="J45" s="75">
        <v>163.80000000000001</v>
      </c>
      <c r="K45" s="74">
        <v>0.20802599999999999</v>
      </c>
      <c r="L45" s="72"/>
      <c r="M45" s="76">
        <v>-4.9800000000000004</v>
      </c>
      <c r="N45">
        <f t="shared" si="8"/>
        <v>-0.29880000000000001</v>
      </c>
      <c r="Q45" s="73">
        <v>1450</v>
      </c>
      <c r="R45" s="72">
        <f t="shared" si="5"/>
        <v>1.45</v>
      </c>
      <c r="S45" s="72"/>
      <c r="T45" s="83"/>
      <c r="U45" s="72">
        <f t="shared" si="7"/>
        <v>1.45</v>
      </c>
    </row>
    <row r="46" spans="2:21" ht="15" x14ac:dyDescent="0.25">
      <c r="B46" s="91">
        <f t="shared" si="0"/>
        <v>200</v>
      </c>
      <c r="C46" s="92">
        <f t="shared" si="1"/>
        <v>0.254</v>
      </c>
      <c r="D46" s="72"/>
      <c r="E46" s="76">
        <f t="shared" si="3"/>
        <v>-4.2121666666666675</v>
      </c>
      <c r="F46">
        <f t="shared" si="4"/>
        <v>-0.25273000000000007</v>
      </c>
      <c r="G46" s="85"/>
      <c r="J46" s="73">
        <v>200</v>
      </c>
      <c r="K46" s="74">
        <v>0.254</v>
      </c>
      <c r="L46" s="72"/>
      <c r="M46" s="76">
        <v>-4.2121666666666675</v>
      </c>
      <c r="N46">
        <f t="shared" si="8"/>
        <v>-0.25273000000000007</v>
      </c>
      <c r="Q46" s="73">
        <v>1500</v>
      </c>
      <c r="R46" s="72">
        <f t="shared" si="5"/>
        <v>1.5</v>
      </c>
      <c r="S46" s="72"/>
      <c r="T46" s="83"/>
      <c r="U46" s="72">
        <f t="shared" si="7"/>
        <v>1.5</v>
      </c>
    </row>
    <row r="47" spans="2:21" ht="15" x14ac:dyDescent="0.25">
      <c r="B47" s="91">
        <f t="shared" si="0"/>
        <v>211</v>
      </c>
      <c r="C47" s="92">
        <f t="shared" si="1"/>
        <v>0.26796999999999999</v>
      </c>
      <c r="D47" s="72"/>
      <c r="E47" s="76">
        <f t="shared" si="3"/>
        <v>-3.98</v>
      </c>
      <c r="F47">
        <f t="shared" si="4"/>
        <v>-0.23879999999999998</v>
      </c>
      <c r="G47" s="85"/>
      <c r="J47" s="75">
        <v>211</v>
      </c>
      <c r="K47" s="72">
        <v>0.26796999999999999</v>
      </c>
      <c r="L47" s="72"/>
      <c r="M47" s="76">
        <v>-3.98</v>
      </c>
      <c r="N47">
        <f t="shared" si="8"/>
        <v>-0.23879999999999998</v>
      </c>
      <c r="Q47" s="73">
        <v>1550</v>
      </c>
      <c r="R47" s="72">
        <f t="shared" si="5"/>
        <v>1.55</v>
      </c>
      <c r="S47" s="72"/>
      <c r="T47" s="83"/>
      <c r="U47" s="72">
        <f t="shared" si="7"/>
        <v>1.55</v>
      </c>
    </row>
    <row r="48" spans="2:21" ht="15" x14ac:dyDescent="0.25">
      <c r="B48" s="91">
        <f t="shared" si="0"/>
        <v>258.3</v>
      </c>
      <c r="C48" s="92">
        <f t="shared" si="1"/>
        <v>0.32804100000000003</v>
      </c>
      <c r="D48" s="72"/>
      <c r="E48" s="76">
        <f t="shared" si="3"/>
        <v>-2.9809999999999999</v>
      </c>
      <c r="F48">
        <f t="shared" si="4"/>
        <v>-0.17885999999999999</v>
      </c>
      <c r="G48" s="85"/>
      <c r="J48" s="75">
        <v>258.3</v>
      </c>
      <c r="K48" s="74">
        <v>0.32804100000000003</v>
      </c>
      <c r="L48" s="72"/>
      <c r="M48" s="76">
        <v>-2.9809999999999999</v>
      </c>
      <c r="N48">
        <f t="shared" si="8"/>
        <v>-0.17885999999999999</v>
      </c>
      <c r="Q48" s="73">
        <v>1600</v>
      </c>
      <c r="R48" s="72">
        <f t="shared" si="5"/>
        <v>1.6</v>
      </c>
      <c r="S48" s="72"/>
      <c r="T48" s="83"/>
      <c r="U48" s="72">
        <f t="shared" si="7"/>
        <v>1.6</v>
      </c>
    </row>
    <row r="49" spans="2:21" ht="15" x14ac:dyDescent="0.25">
      <c r="B49" s="91">
        <f t="shared" si="0"/>
        <v>300</v>
      </c>
      <c r="C49" s="92">
        <f t="shared" si="1"/>
        <v>0.38100000000000001</v>
      </c>
      <c r="D49" s="72"/>
      <c r="E49" s="76">
        <f t="shared" si="3"/>
        <v>-2.1013333333333337</v>
      </c>
      <c r="F49">
        <f t="shared" si="4"/>
        <v>-0.12608000000000003</v>
      </c>
      <c r="G49" s="85"/>
      <c r="J49" s="73">
        <v>300</v>
      </c>
      <c r="K49" s="74">
        <v>0.38100000000000001</v>
      </c>
      <c r="L49" s="72"/>
      <c r="M49" s="76">
        <v>-2.1013333333333337</v>
      </c>
      <c r="N49">
        <f t="shared" si="8"/>
        <v>-0.12608000000000003</v>
      </c>
      <c r="Q49" s="73">
        <v>1650</v>
      </c>
      <c r="R49" s="72">
        <f t="shared" si="5"/>
        <v>1.65</v>
      </c>
      <c r="S49" s="72"/>
      <c r="T49" s="83"/>
      <c r="U49" s="72">
        <f t="shared" si="7"/>
        <v>1.65</v>
      </c>
    </row>
    <row r="50" spans="2:21" ht="15" x14ac:dyDescent="0.25">
      <c r="B50" s="91">
        <f t="shared" si="0"/>
        <v>305.5</v>
      </c>
      <c r="C50" s="92">
        <f t="shared" si="1"/>
        <v>0.38798499999999997</v>
      </c>
      <c r="D50" s="72"/>
      <c r="E50" s="76">
        <f t="shared" si="3"/>
        <v>-1.9870000000000001</v>
      </c>
      <c r="F50">
        <f t="shared" si="4"/>
        <v>-0.11922000000000001</v>
      </c>
      <c r="G50" s="85"/>
      <c r="J50" s="75">
        <v>305.5</v>
      </c>
      <c r="K50" s="72">
        <v>0.38798499999999997</v>
      </c>
      <c r="L50" s="72"/>
      <c r="M50" s="76">
        <v>-1.9870000000000001</v>
      </c>
      <c r="N50">
        <f t="shared" si="8"/>
        <v>-0.11922000000000001</v>
      </c>
      <c r="Q50" s="73">
        <v>1700</v>
      </c>
      <c r="R50" s="72">
        <f t="shared" si="5"/>
        <v>1.7</v>
      </c>
      <c r="S50" s="72"/>
      <c r="T50" s="83"/>
      <c r="U50" s="72">
        <f t="shared" si="7"/>
        <v>1.7</v>
      </c>
    </row>
    <row r="51" spans="2:21" ht="15" x14ac:dyDescent="0.25">
      <c r="B51" s="91">
        <f t="shared" si="0"/>
        <v>352.8</v>
      </c>
      <c r="C51" s="92">
        <f t="shared" si="1"/>
        <v>0.44805599999999995</v>
      </c>
      <c r="D51" s="72"/>
      <c r="E51" s="76">
        <f t="shared" si="3"/>
        <v>-0.99299999999999999</v>
      </c>
      <c r="F51">
        <f t="shared" si="4"/>
        <v>-5.9579999999999994E-2</v>
      </c>
      <c r="G51" s="85"/>
      <c r="J51" s="75">
        <v>352.8</v>
      </c>
      <c r="K51" s="74">
        <v>0.44805599999999995</v>
      </c>
      <c r="L51" s="72"/>
      <c r="M51" s="76">
        <v>-0.99299999999999999</v>
      </c>
      <c r="N51">
        <f t="shared" si="8"/>
        <v>-5.9579999999999994E-2</v>
      </c>
      <c r="Q51" s="73">
        <v>1750</v>
      </c>
      <c r="R51" s="72">
        <f t="shared" si="5"/>
        <v>1.75</v>
      </c>
      <c r="S51" s="72"/>
      <c r="T51" s="83"/>
      <c r="U51" s="72">
        <f t="shared" si="7"/>
        <v>1.75</v>
      </c>
    </row>
    <row r="52" spans="2:21" ht="15" x14ac:dyDescent="0.25">
      <c r="B52" s="91">
        <f t="shared" si="0"/>
        <v>400</v>
      </c>
      <c r="C52" s="92">
        <f t="shared" si="1"/>
        <v>0.50800000000000001</v>
      </c>
      <c r="D52" s="72"/>
      <c r="E52" s="76">
        <f t="shared" si="3"/>
        <v>3.333333333338101E-4</v>
      </c>
      <c r="F52">
        <f t="shared" si="4"/>
        <v>2.0000000000028604E-5</v>
      </c>
      <c r="G52" s="85"/>
      <c r="J52" s="73">
        <v>400</v>
      </c>
      <c r="K52" s="74">
        <v>0.50800000000000001</v>
      </c>
      <c r="L52" s="72"/>
      <c r="M52" s="76">
        <v>3.333333333338101E-4</v>
      </c>
      <c r="N52">
        <f t="shared" si="8"/>
        <v>2.0000000000028604E-5</v>
      </c>
      <c r="Q52" s="73">
        <v>1800</v>
      </c>
      <c r="R52" s="72">
        <f t="shared" si="5"/>
        <v>1.8</v>
      </c>
      <c r="S52" s="72"/>
      <c r="T52" s="83"/>
      <c r="U52" s="72">
        <f t="shared" si="7"/>
        <v>1.8</v>
      </c>
    </row>
    <row r="53" spans="2:21" ht="15" x14ac:dyDescent="0.25">
      <c r="B53" s="91">
        <f t="shared" si="0"/>
        <v>447.2</v>
      </c>
      <c r="C53" s="92">
        <f t="shared" si="1"/>
        <v>0.567944</v>
      </c>
      <c r="D53" s="72"/>
      <c r="E53" s="76">
        <f t="shared" si="3"/>
        <v>0.997</v>
      </c>
      <c r="F53">
        <f t="shared" si="4"/>
        <v>5.9819999999999998E-2</v>
      </c>
      <c r="G53" s="85"/>
      <c r="J53" s="75">
        <v>447.2</v>
      </c>
      <c r="K53" s="72">
        <v>0.567944</v>
      </c>
      <c r="L53" s="72"/>
      <c r="M53" s="76">
        <v>0.997</v>
      </c>
      <c r="N53">
        <f t="shared" si="8"/>
        <v>5.9819999999999998E-2</v>
      </c>
      <c r="Q53" s="73">
        <v>1850</v>
      </c>
      <c r="R53" s="72">
        <f t="shared" si="5"/>
        <v>1.85</v>
      </c>
      <c r="S53" s="72"/>
      <c r="T53" s="83"/>
      <c r="U53" s="72">
        <f t="shared" si="7"/>
        <v>1.85</v>
      </c>
    </row>
    <row r="54" spans="2:21" ht="15" x14ac:dyDescent="0.25">
      <c r="B54" s="91">
        <f t="shared" si="0"/>
        <v>494.5</v>
      </c>
      <c r="C54" s="92">
        <f t="shared" si="1"/>
        <v>0.62801499999999999</v>
      </c>
      <c r="D54" s="72"/>
      <c r="E54" s="76">
        <f t="shared" si="3"/>
        <v>1.996</v>
      </c>
      <c r="F54">
        <f t="shared" si="4"/>
        <v>0.11975999999999999</v>
      </c>
      <c r="G54" s="85"/>
      <c r="J54" s="75">
        <v>494.5</v>
      </c>
      <c r="K54" s="74">
        <v>0.62801499999999999</v>
      </c>
      <c r="L54" s="72"/>
      <c r="M54" s="76">
        <v>1.996</v>
      </c>
      <c r="N54">
        <f t="shared" si="8"/>
        <v>0.11975999999999999</v>
      </c>
      <c r="Q54" s="73">
        <v>1900</v>
      </c>
      <c r="R54" s="72">
        <f t="shared" si="5"/>
        <v>1.9</v>
      </c>
      <c r="S54" s="72"/>
      <c r="T54" s="83"/>
      <c r="U54" s="72">
        <f t="shared" si="7"/>
        <v>1.9</v>
      </c>
    </row>
    <row r="55" spans="2:21" ht="15" x14ac:dyDescent="0.25">
      <c r="B55" s="91">
        <f t="shared" si="0"/>
        <v>500</v>
      </c>
      <c r="C55" s="92">
        <f t="shared" si="1"/>
        <v>0.63500000000000001</v>
      </c>
      <c r="D55" s="72"/>
      <c r="E55" s="76">
        <f t="shared" si="3"/>
        <v>2.1136666666666657</v>
      </c>
      <c r="F55">
        <f t="shared" si="4"/>
        <v>0.12681999999999993</v>
      </c>
      <c r="G55" s="85"/>
      <c r="J55" s="73">
        <v>500</v>
      </c>
      <c r="K55" s="74">
        <v>0.63500000000000001</v>
      </c>
      <c r="L55" s="72"/>
      <c r="M55" s="76">
        <v>2.1136666666666657</v>
      </c>
      <c r="N55">
        <f t="shared" si="8"/>
        <v>0.12681999999999993</v>
      </c>
      <c r="Q55" s="73">
        <v>1950</v>
      </c>
      <c r="R55" s="72">
        <f t="shared" si="5"/>
        <v>1.95</v>
      </c>
      <c r="S55" s="72"/>
      <c r="T55" s="83"/>
      <c r="U55" s="72">
        <f t="shared" si="7"/>
        <v>1.95</v>
      </c>
    </row>
    <row r="56" spans="2:21" ht="15" x14ac:dyDescent="0.25">
      <c r="B56" s="91">
        <f t="shared" si="0"/>
        <v>541.70000000000005</v>
      </c>
      <c r="C56" s="92">
        <f t="shared" si="1"/>
        <v>0.68795899999999999</v>
      </c>
      <c r="D56" s="72"/>
      <c r="E56" s="76">
        <f t="shared" si="3"/>
        <v>2.9929999999999999</v>
      </c>
      <c r="F56">
        <f t="shared" si="4"/>
        <v>0.17957999999999999</v>
      </c>
      <c r="G56" s="85"/>
      <c r="J56" s="75">
        <v>541.70000000000005</v>
      </c>
      <c r="K56" s="72">
        <v>0.68795899999999999</v>
      </c>
      <c r="L56" s="72"/>
      <c r="M56" s="76">
        <v>2.9929999999999999</v>
      </c>
      <c r="N56">
        <f t="shared" si="8"/>
        <v>0.17957999999999999</v>
      </c>
      <c r="Q56" s="73">
        <v>2000</v>
      </c>
      <c r="R56" s="72">
        <f t="shared" si="5"/>
        <v>2</v>
      </c>
      <c r="S56" s="72"/>
      <c r="T56" s="83"/>
      <c r="U56" s="72">
        <f t="shared" si="7"/>
        <v>2</v>
      </c>
    </row>
    <row r="57" spans="2:21" ht="15" x14ac:dyDescent="0.25">
      <c r="B57" s="91">
        <f t="shared" si="0"/>
        <v>589</v>
      </c>
      <c r="C57" s="92">
        <f t="shared" si="1"/>
        <v>0.74802999999999986</v>
      </c>
      <c r="D57" s="72"/>
      <c r="E57" s="76">
        <f t="shared" si="3"/>
        <v>3.9929999999999999</v>
      </c>
      <c r="F57">
        <f t="shared" si="4"/>
        <v>0.23957999999999999</v>
      </c>
      <c r="G57" s="85"/>
      <c r="J57" s="75">
        <v>589</v>
      </c>
      <c r="K57" s="74">
        <v>0.74802999999999986</v>
      </c>
      <c r="L57" s="72"/>
      <c r="M57" s="76">
        <v>3.9929999999999999</v>
      </c>
      <c r="N57">
        <f t="shared" si="8"/>
        <v>0.23957999999999999</v>
      </c>
      <c r="Q57" s="73">
        <v>2050</v>
      </c>
      <c r="R57" s="72">
        <f t="shared" si="5"/>
        <v>2.0499999999999998</v>
      </c>
      <c r="S57" s="72"/>
      <c r="T57" s="83"/>
      <c r="U57" s="72">
        <f t="shared" si="7"/>
        <v>2.0499999999999998</v>
      </c>
    </row>
    <row r="58" spans="2:21" ht="15" x14ac:dyDescent="0.25">
      <c r="B58" s="91">
        <f t="shared" si="0"/>
        <v>600</v>
      </c>
      <c r="C58" s="92">
        <f t="shared" si="1"/>
        <v>0.76200000000000001</v>
      </c>
      <c r="D58" s="72"/>
      <c r="E58" s="76">
        <f t="shared" si="3"/>
        <v>4.2236666666666665</v>
      </c>
      <c r="F58">
        <f t="shared" si="4"/>
        <v>0.25341999999999998</v>
      </c>
      <c r="G58" s="85"/>
      <c r="J58" s="73">
        <v>600</v>
      </c>
      <c r="K58" s="74">
        <v>0.76200000000000001</v>
      </c>
      <c r="L58" s="72"/>
      <c r="M58" s="76">
        <v>4.2236666666666665</v>
      </c>
      <c r="N58">
        <f t="shared" si="8"/>
        <v>0.25341999999999998</v>
      </c>
      <c r="Q58" s="73">
        <v>2100</v>
      </c>
      <c r="R58" s="72">
        <f t="shared" si="5"/>
        <v>2.1</v>
      </c>
      <c r="S58" s="72"/>
      <c r="T58" s="83"/>
      <c r="U58" s="72">
        <f t="shared" si="7"/>
        <v>2.1</v>
      </c>
    </row>
    <row r="59" spans="2:21" ht="15" x14ac:dyDescent="0.25">
      <c r="B59" s="91">
        <f t="shared" si="0"/>
        <v>636.20000000000005</v>
      </c>
      <c r="C59" s="92">
        <f t="shared" si="1"/>
        <v>0.80797400000000008</v>
      </c>
      <c r="D59" s="72"/>
      <c r="E59" s="76">
        <f t="shared" si="3"/>
        <v>4.99</v>
      </c>
      <c r="F59">
        <f t="shared" si="4"/>
        <v>0.2994</v>
      </c>
      <c r="G59" s="85"/>
      <c r="J59" s="75">
        <v>636.20000000000005</v>
      </c>
      <c r="K59" s="72">
        <v>0.80797400000000008</v>
      </c>
      <c r="L59" s="72"/>
      <c r="M59" s="76">
        <v>4.99</v>
      </c>
      <c r="N59">
        <f t="shared" si="8"/>
        <v>0.2994</v>
      </c>
      <c r="Q59" s="73">
        <v>2150</v>
      </c>
      <c r="R59" s="72">
        <f t="shared" si="5"/>
        <v>2.15</v>
      </c>
      <c r="S59" s="72"/>
      <c r="T59" s="83"/>
      <c r="U59" s="72">
        <f t="shared" si="7"/>
        <v>2.15</v>
      </c>
    </row>
    <row r="60" spans="2:21" ht="15" x14ac:dyDescent="0.25">
      <c r="B60" s="91">
        <f t="shared" si="0"/>
        <v>683.5</v>
      </c>
      <c r="C60" s="92">
        <f t="shared" si="1"/>
        <v>0.86804499999999984</v>
      </c>
      <c r="D60" s="72"/>
      <c r="E60" s="76">
        <f t="shared" si="3"/>
        <v>5.9859999999999998</v>
      </c>
      <c r="F60">
        <f t="shared" si="4"/>
        <v>0.35915999999999998</v>
      </c>
      <c r="G60" s="85"/>
      <c r="J60" s="75">
        <v>683.5</v>
      </c>
      <c r="K60" s="74">
        <v>0.86804499999999984</v>
      </c>
      <c r="L60" s="72"/>
      <c r="M60" s="76">
        <v>5.9859999999999998</v>
      </c>
      <c r="N60">
        <f t="shared" si="8"/>
        <v>0.35915999999999998</v>
      </c>
      <c r="Q60" s="73">
        <v>2200</v>
      </c>
      <c r="R60" s="72">
        <f t="shared" si="5"/>
        <v>2.2000000000000002</v>
      </c>
      <c r="S60" s="72"/>
      <c r="T60" s="83"/>
      <c r="U60" s="72">
        <f t="shared" si="7"/>
        <v>2.2000000000000002</v>
      </c>
    </row>
    <row r="61" spans="2:21" ht="15" x14ac:dyDescent="0.25">
      <c r="B61" s="91">
        <f t="shared" si="0"/>
        <v>700</v>
      </c>
      <c r="C61" s="92">
        <f t="shared" si="1"/>
        <v>0.88900000000000001</v>
      </c>
      <c r="D61" s="72"/>
      <c r="E61" s="76">
        <f t="shared" si="3"/>
        <v>6.3320000000000007</v>
      </c>
      <c r="F61">
        <f t="shared" si="4"/>
        <v>0.37992000000000004</v>
      </c>
      <c r="G61" s="85"/>
      <c r="J61" s="73">
        <v>700</v>
      </c>
      <c r="K61" s="74">
        <v>0.88900000000000001</v>
      </c>
      <c r="L61" s="72"/>
      <c r="M61" s="76">
        <v>6.3320000000000007</v>
      </c>
      <c r="N61">
        <f t="shared" si="8"/>
        <v>0.37992000000000004</v>
      </c>
      <c r="Q61" s="73">
        <v>2250</v>
      </c>
      <c r="R61" s="72">
        <f t="shared" si="5"/>
        <v>2.25</v>
      </c>
      <c r="S61" s="72"/>
      <c r="T61" s="83"/>
      <c r="U61" s="72">
        <f t="shared" si="7"/>
        <v>2.25</v>
      </c>
    </row>
    <row r="62" spans="2:21" ht="15" x14ac:dyDescent="0.25">
      <c r="B62" s="91">
        <f t="shared" si="0"/>
        <v>730.7</v>
      </c>
      <c r="C62" s="92">
        <f t="shared" si="1"/>
        <v>0.92798899999999995</v>
      </c>
      <c r="D62" s="72"/>
      <c r="E62" s="76">
        <f t="shared" si="3"/>
        <v>6.98</v>
      </c>
      <c r="F62">
        <f t="shared" si="4"/>
        <v>0.41880000000000001</v>
      </c>
      <c r="G62" s="85"/>
      <c r="J62" s="75">
        <v>730.7</v>
      </c>
      <c r="K62" s="72">
        <v>0.92798899999999995</v>
      </c>
      <c r="L62" s="72"/>
      <c r="M62" s="76">
        <v>6.98</v>
      </c>
      <c r="N62">
        <f t="shared" si="8"/>
        <v>0.41880000000000001</v>
      </c>
      <c r="Q62" s="73">
        <v>2300</v>
      </c>
      <c r="R62" s="72">
        <f t="shared" si="5"/>
        <v>2.2999999999999998</v>
      </c>
      <c r="S62" s="72"/>
      <c r="T62" s="83"/>
      <c r="U62" s="72">
        <f t="shared" si="7"/>
        <v>2.2999999999999998</v>
      </c>
    </row>
    <row r="63" spans="2:21" ht="15" x14ac:dyDescent="0.25">
      <c r="B63" s="91">
        <f t="shared" si="0"/>
        <v>778</v>
      </c>
      <c r="C63" s="92">
        <f t="shared" si="1"/>
        <v>0.98805999999999994</v>
      </c>
      <c r="D63" s="72"/>
      <c r="E63" s="76">
        <f t="shared" si="3"/>
        <v>7.9729999999999999</v>
      </c>
      <c r="F63">
        <f t="shared" si="4"/>
        <v>0.47837999999999997</v>
      </c>
      <c r="G63" s="85"/>
      <c r="J63" s="75">
        <v>778</v>
      </c>
      <c r="K63" s="72">
        <v>0.98805999999999994</v>
      </c>
      <c r="L63" s="72"/>
      <c r="M63" s="76">
        <v>7.9729999999999999</v>
      </c>
      <c r="N63">
        <f t="shared" si="8"/>
        <v>0.47837999999999997</v>
      </c>
      <c r="Q63" s="73">
        <v>2350</v>
      </c>
      <c r="R63" s="72">
        <f t="shared" si="5"/>
        <v>2.35</v>
      </c>
      <c r="S63" s="72"/>
      <c r="T63" s="83"/>
      <c r="U63" s="72">
        <f t="shared" si="7"/>
        <v>2.35</v>
      </c>
    </row>
    <row r="64" spans="2:21" x14ac:dyDescent="0.2">
      <c r="B64" s="91">
        <f t="shared" si="0"/>
        <v>800</v>
      </c>
      <c r="C64" s="92">
        <f t="shared" si="1"/>
        <v>1.016</v>
      </c>
      <c r="D64" s="72"/>
      <c r="E64" s="76">
        <f t="shared" si="3"/>
        <v>8.4378333333333337</v>
      </c>
      <c r="F64">
        <f t="shared" si="4"/>
        <v>0.50627</v>
      </c>
      <c r="G64" s="85"/>
      <c r="J64" s="73">
        <v>800</v>
      </c>
      <c r="K64" s="72">
        <v>1.016</v>
      </c>
      <c r="L64" s="72"/>
      <c r="M64" s="76">
        <v>8.4378333333333337</v>
      </c>
      <c r="N64">
        <f t="shared" si="8"/>
        <v>0.50627</v>
      </c>
      <c r="Q64" s="73">
        <v>2400</v>
      </c>
      <c r="R64" s="72">
        <f t="shared" si="5"/>
        <v>2.4</v>
      </c>
      <c r="S64" s="72"/>
      <c r="T64" s="83"/>
      <c r="U64" s="72">
        <f t="shared" si="7"/>
        <v>2.4</v>
      </c>
    </row>
    <row r="65" spans="2:21" x14ac:dyDescent="0.2">
      <c r="B65" s="91">
        <f t="shared" si="0"/>
        <v>900</v>
      </c>
      <c r="C65" s="92">
        <f t="shared" si="1"/>
        <v>1.143</v>
      </c>
      <c r="D65" s="72"/>
      <c r="E65" s="76">
        <f t="shared" si="3"/>
        <v>10.547000000000001</v>
      </c>
      <c r="F65">
        <f t="shared" si="4"/>
        <v>0.63282000000000005</v>
      </c>
      <c r="G65" s="85"/>
      <c r="J65" s="73">
        <v>900</v>
      </c>
      <c r="K65">
        <v>1.143</v>
      </c>
      <c r="L65" s="72"/>
      <c r="M65" s="76">
        <v>10.547000000000001</v>
      </c>
      <c r="N65">
        <f t="shared" si="8"/>
        <v>0.63282000000000005</v>
      </c>
      <c r="Q65" s="73">
        <v>2450</v>
      </c>
      <c r="R65" s="72">
        <f t="shared" si="5"/>
        <v>2.4500000000000002</v>
      </c>
      <c r="S65" s="72"/>
      <c r="T65" s="83"/>
      <c r="U65" s="72">
        <f t="shared" si="7"/>
        <v>2.4500000000000002</v>
      </c>
    </row>
    <row r="66" spans="2:21" x14ac:dyDescent="0.2">
      <c r="B66" s="91">
        <f t="shared" si="0"/>
        <v>1000</v>
      </c>
      <c r="C66" s="92">
        <f t="shared" si="1"/>
        <v>1.27</v>
      </c>
      <c r="D66" s="72"/>
      <c r="E66" s="76">
        <f t="shared" si="3"/>
        <v>12.655333333333335</v>
      </c>
      <c r="F66">
        <f t="shared" si="4"/>
        <v>0.75932000000000011</v>
      </c>
      <c r="G66" s="85"/>
      <c r="J66" s="73">
        <v>1000</v>
      </c>
      <c r="K66">
        <v>1.27</v>
      </c>
      <c r="L66" s="72"/>
      <c r="M66" s="76">
        <v>12.655333333333335</v>
      </c>
      <c r="N66">
        <f t="shared" si="8"/>
        <v>0.75932000000000011</v>
      </c>
      <c r="Q66" s="73">
        <v>2500</v>
      </c>
      <c r="R66" s="72">
        <f t="shared" si="5"/>
        <v>2.5</v>
      </c>
      <c r="S66" s="72"/>
      <c r="T66" s="83"/>
      <c r="U66" s="72">
        <f t="shared" si="7"/>
        <v>2.5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E41"/>
  <sheetViews>
    <sheetView workbookViewId="0">
      <selection activeCell="C11" sqref="C11"/>
    </sheetView>
  </sheetViews>
  <sheetFormatPr baseColWidth="10" defaultColWidth="9.140625" defaultRowHeight="12.75" x14ac:dyDescent="0.2"/>
  <cols>
    <col min="1" max="1" width="9.140625" style="2"/>
    <col min="2" max="2" width="58" style="1" customWidth="1"/>
    <col min="3" max="3" width="9.140625" style="2"/>
    <col min="4" max="16384" width="9.140625" style="1"/>
  </cols>
  <sheetData>
    <row r="1" spans="1:5" x14ac:dyDescent="0.2">
      <c r="A1" s="5" t="s">
        <v>12</v>
      </c>
      <c r="B1" s="6" t="s">
        <v>13</v>
      </c>
      <c r="C1" s="5" t="s">
        <v>14</v>
      </c>
    </row>
    <row r="2" spans="1:5" x14ac:dyDescent="0.2">
      <c r="A2" s="7">
        <v>43358</v>
      </c>
      <c r="B2" s="8" t="s">
        <v>24</v>
      </c>
      <c r="C2" s="9" t="s">
        <v>15</v>
      </c>
    </row>
    <row r="3" spans="1:5" x14ac:dyDescent="0.2">
      <c r="A3" s="10"/>
      <c r="B3" s="8"/>
      <c r="C3" s="9"/>
    </row>
    <row r="4" spans="1:5" x14ac:dyDescent="0.2">
      <c r="A4" s="7">
        <v>43438</v>
      </c>
      <c r="B4" s="8" t="s">
        <v>47</v>
      </c>
      <c r="C4" s="9"/>
      <c r="E4" s="2"/>
    </row>
    <row r="5" spans="1:5" x14ac:dyDescent="0.2">
      <c r="A5" s="7"/>
      <c r="B5" s="8" t="s">
        <v>48</v>
      </c>
      <c r="C5" s="9" t="s">
        <v>15</v>
      </c>
      <c r="E5" s="2"/>
    </row>
    <row r="6" spans="1:5" x14ac:dyDescent="0.2">
      <c r="A6" s="7"/>
      <c r="B6" s="8"/>
      <c r="C6" s="9"/>
      <c r="E6" s="2"/>
    </row>
    <row r="7" spans="1:5" ht="12.75" customHeight="1" x14ac:dyDescent="0.2">
      <c r="A7" s="7">
        <v>43467</v>
      </c>
      <c r="B7" s="13" t="s">
        <v>50</v>
      </c>
      <c r="C7" s="5"/>
    </row>
    <row r="8" spans="1:5" x14ac:dyDescent="0.2">
      <c r="A8" s="7"/>
      <c r="B8" s="12" t="s">
        <v>52</v>
      </c>
      <c r="C8" s="5"/>
    </row>
    <row r="9" spans="1:5" x14ac:dyDescent="0.2">
      <c r="A9" s="7"/>
      <c r="B9" s="11" t="s">
        <v>51</v>
      </c>
      <c r="C9" s="5" t="s">
        <v>15</v>
      </c>
      <c r="E9" s="2"/>
    </row>
    <row r="10" spans="1:5" x14ac:dyDescent="0.2">
      <c r="A10" s="7">
        <v>43513</v>
      </c>
      <c r="B10" s="11" t="s">
        <v>59</v>
      </c>
      <c r="C10" s="5" t="s">
        <v>15</v>
      </c>
      <c r="E10" s="2"/>
    </row>
    <row r="11" spans="1:5" x14ac:dyDescent="0.2">
      <c r="A11" s="7"/>
      <c r="B11" s="11"/>
      <c r="C11" s="5"/>
    </row>
    <row r="12" spans="1:5" x14ac:dyDescent="0.2">
      <c r="A12" s="7"/>
      <c r="B12" s="11"/>
      <c r="C12" s="5"/>
    </row>
    <row r="13" spans="1:5" x14ac:dyDescent="0.2">
      <c r="A13" s="7"/>
      <c r="B13" s="11"/>
      <c r="C13" s="5"/>
    </row>
    <row r="14" spans="1:5" x14ac:dyDescent="0.2">
      <c r="A14" s="7"/>
      <c r="B14" s="11"/>
      <c r="C14" s="5"/>
    </row>
    <row r="15" spans="1:5" x14ac:dyDescent="0.2">
      <c r="A15" s="7"/>
      <c r="B15" s="11"/>
      <c r="C15" s="5"/>
    </row>
    <row r="16" spans="1:5" x14ac:dyDescent="0.2">
      <c r="A16" s="7"/>
      <c r="B16" s="11"/>
      <c r="C16" s="5"/>
    </row>
    <row r="17" spans="1:3" x14ac:dyDescent="0.2">
      <c r="A17" s="7"/>
      <c r="B17" s="11"/>
      <c r="C17" s="5"/>
    </row>
    <row r="18" spans="1:3" x14ac:dyDescent="0.2">
      <c r="A18" s="7"/>
      <c r="B18" s="11"/>
      <c r="C18" s="5"/>
    </row>
    <row r="19" spans="1:3" x14ac:dyDescent="0.2">
      <c r="A19" s="7"/>
      <c r="B19" s="11"/>
      <c r="C19" s="5"/>
    </row>
    <row r="20" spans="1:3" x14ac:dyDescent="0.2">
      <c r="A20" s="7"/>
      <c r="B20" s="11"/>
      <c r="C20" s="5"/>
    </row>
    <row r="21" spans="1:3" x14ac:dyDescent="0.2">
      <c r="A21" s="7"/>
      <c r="B21" s="11"/>
      <c r="C21" s="5"/>
    </row>
    <row r="22" spans="1:3" x14ac:dyDescent="0.2">
      <c r="A22" s="7"/>
      <c r="B22" s="11"/>
      <c r="C22" s="5"/>
    </row>
    <row r="23" spans="1:3" x14ac:dyDescent="0.2">
      <c r="A23" s="7"/>
      <c r="B23" s="11"/>
      <c r="C23" s="5"/>
    </row>
    <row r="24" spans="1:3" x14ac:dyDescent="0.2">
      <c r="A24" s="7"/>
      <c r="B24" s="11"/>
      <c r="C24" s="5"/>
    </row>
    <row r="25" spans="1:3" x14ac:dyDescent="0.2">
      <c r="A25" s="7"/>
      <c r="B25" s="11"/>
      <c r="C25" s="5"/>
    </row>
    <row r="26" spans="1:3" x14ac:dyDescent="0.2">
      <c r="A26" s="7"/>
      <c r="B26" s="11"/>
      <c r="C26" s="5"/>
    </row>
    <row r="27" spans="1:3" x14ac:dyDescent="0.2">
      <c r="A27" s="7"/>
      <c r="B27" s="11"/>
      <c r="C27" s="5"/>
    </row>
    <row r="28" spans="1:3" x14ac:dyDescent="0.2">
      <c r="A28" s="7"/>
      <c r="B28" s="11"/>
      <c r="C28" s="5"/>
    </row>
    <row r="29" spans="1:3" x14ac:dyDescent="0.2">
      <c r="A29" s="7"/>
      <c r="B29" s="11"/>
      <c r="C29" s="5"/>
    </row>
    <row r="30" spans="1:3" x14ac:dyDescent="0.2">
      <c r="A30" s="7"/>
      <c r="B30" s="11"/>
      <c r="C30" s="5"/>
    </row>
    <row r="31" spans="1:3" x14ac:dyDescent="0.2">
      <c r="A31" s="7"/>
      <c r="B31" s="11"/>
      <c r="C31" s="5"/>
    </row>
    <row r="32" spans="1:3" x14ac:dyDescent="0.2">
      <c r="A32" s="7"/>
      <c r="B32" s="11"/>
      <c r="C32" s="5"/>
    </row>
    <row r="33" spans="1:3" x14ac:dyDescent="0.2">
      <c r="A33" s="7"/>
      <c r="B33" s="11"/>
      <c r="C33" s="5"/>
    </row>
    <row r="34" spans="1:3" x14ac:dyDescent="0.2">
      <c r="A34" s="7"/>
      <c r="B34" s="11"/>
      <c r="C34" s="5"/>
    </row>
    <row r="35" spans="1:3" x14ac:dyDescent="0.2">
      <c r="A35" s="7"/>
      <c r="B35" s="11"/>
      <c r="C35" s="5"/>
    </row>
    <row r="36" spans="1:3" x14ac:dyDescent="0.2">
      <c r="A36" s="7"/>
      <c r="B36" s="11"/>
      <c r="C36" s="5"/>
    </row>
    <row r="37" spans="1:3" x14ac:dyDescent="0.2">
      <c r="A37" s="7"/>
      <c r="B37" s="11"/>
      <c r="C37" s="5"/>
    </row>
    <row r="38" spans="1:3" x14ac:dyDescent="0.2">
      <c r="A38" s="7"/>
      <c r="B38" s="11"/>
      <c r="C38" s="5"/>
    </row>
    <row r="39" spans="1:3" x14ac:dyDescent="0.2">
      <c r="A39" s="3"/>
      <c r="B39" s="4"/>
    </row>
    <row r="40" spans="1:3" x14ac:dyDescent="0.2">
      <c r="A40" s="3"/>
      <c r="B40" s="4"/>
    </row>
    <row r="41" spans="1:3" x14ac:dyDescent="0.2">
      <c r="A41" s="3"/>
      <c r="B41" s="4"/>
    </row>
  </sheetData>
  <sheetProtection algorithmName="SHA-512" hashValue="/Ue3tGkXwuWU6TH2SPCKmNtH8lUhWh6mDezL6sQfKaD2SD9isVwt7FVZ65M5hk/5I+/TqLO19DDodOFJjtyXZQ==" saltValue="MfwmwikuckGv9eiSE8gb/g==" spinCount="100000" sheet="1" objects="1" scenarios="1"/>
  <phoneticPr fontId="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Strain Ext Cal</vt:lpstr>
      <vt:lpstr>Vis micro</vt:lpstr>
      <vt:lpstr>Form History</vt:lpstr>
      <vt:lpstr>Vis</vt:lpstr>
      <vt:lpstr>vis_Indication</vt:lpstr>
      <vt:lpstr>'Strain Ext Cal'!Zone_d_impression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Horner</dc:creator>
  <cp:lastModifiedBy>Pierrick Gonnet</cp:lastModifiedBy>
  <cp:lastPrinted>2020-09-03T13:00:47Z</cp:lastPrinted>
  <dcterms:created xsi:type="dcterms:W3CDTF">1999-04-01T12:01:53Z</dcterms:created>
  <dcterms:modified xsi:type="dcterms:W3CDTF">2020-09-08T07:41:44Z</dcterms:modified>
</cp:coreProperties>
</file>