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3060" windowWidth="15090" windowHeight="6495" tabRatio="920"/>
  </bookViews>
  <sheets>
    <sheet name="VesselCharacteristics" sheetId="14" r:id="rId1"/>
    <sheet name="Engine Design" sheetId="16" r:id="rId2"/>
    <sheet name="Plumbing" sheetId="19" r:id="rId3"/>
  </sheets>
  <definedNames>
    <definedName name="hgNominal">VesselCharacteristics!$B$68</definedName>
    <definedName name="_xlnm.Print_Area" localSheetId="1">'Engine Design'!#REF!</definedName>
    <definedName name="Rd_t">VesselCharacteristics!$D$66</definedName>
    <definedName name="sigma_t">VesselCharacteristics!$D$67</definedName>
  </definedNames>
  <calcPr calcId="145621"/>
</workbook>
</file>

<file path=xl/calcChain.xml><?xml version="1.0" encoding="utf-8"?>
<calcChain xmlns="http://schemas.openxmlformats.org/spreadsheetml/2006/main">
  <c r="J30" i="16" l="1"/>
  <c r="N140" i="16" l="1"/>
  <c r="M140" i="16"/>
  <c r="L141" i="16" l="1"/>
  <c r="M125" i="16"/>
  <c r="S152" i="16"/>
  <c r="S150" i="16"/>
  <c r="S149" i="16"/>
  <c r="T147" i="16"/>
  <c r="S148" i="16"/>
  <c r="S147" i="16"/>
  <c r="S146" i="16"/>
  <c r="S145" i="16" l="1"/>
  <c r="M138" i="16"/>
  <c r="P138" i="16" s="1"/>
  <c r="Q138" i="16" s="1"/>
  <c r="S144" i="16"/>
  <c r="S143" i="16"/>
  <c r="V34" i="16"/>
  <c r="X33" i="16"/>
  <c r="H90" i="16"/>
  <c r="H89" i="16"/>
  <c r="N153" i="16"/>
  <c r="N150" i="16"/>
  <c r="N149" i="16"/>
  <c r="O145" i="16"/>
  <c r="N145" i="16"/>
  <c r="J89" i="16"/>
  <c r="J88" i="16"/>
  <c r="H88" i="16"/>
  <c r="F107" i="16"/>
  <c r="L147" i="16"/>
  <c r="L146" i="16"/>
  <c r="M144" i="16"/>
  <c r="M143" i="16"/>
  <c r="N143" i="16" s="1"/>
  <c r="L143" i="16"/>
  <c r="M147" i="16"/>
  <c r="M145" i="16"/>
  <c r="M137" i="16"/>
  <c r="Q137" i="16" s="1"/>
  <c r="P137" i="16"/>
  <c r="P144" i="16"/>
  <c r="M129" i="16"/>
  <c r="O129" i="16" s="1"/>
  <c r="P143" i="16"/>
  <c r="Q126" i="16"/>
  <c r="S121" i="16"/>
  <c r="R121" i="16"/>
  <c r="Q121" i="16"/>
  <c r="S120" i="16"/>
  <c r="R120" i="16"/>
  <c r="Q120" i="16"/>
  <c r="D62" i="16"/>
  <c r="E62" i="16"/>
  <c r="S72" i="16"/>
  <c r="R73" i="16"/>
  <c r="R71" i="16"/>
  <c r="Q72" i="16"/>
  <c r="R72" i="16"/>
  <c r="P72" i="16"/>
  <c r="O72" i="16"/>
  <c r="O69" i="16"/>
  <c r="M69" i="16"/>
  <c r="Q61" i="16"/>
  <c r="M136" i="16"/>
  <c r="M68" i="16"/>
  <c r="M133" i="16"/>
  <c r="M135" i="16" s="1"/>
  <c r="M128" i="16"/>
  <c r="M130" i="16"/>
  <c r="M127" i="16"/>
  <c r="S127" i="16"/>
  <c r="R127" i="16"/>
  <c r="O132" i="16"/>
  <c r="M132" i="16"/>
  <c r="M43" i="16"/>
  <c r="O126" i="16"/>
  <c r="M126" i="16"/>
  <c r="M42" i="16"/>
  <c r="Q34" i="16"/>
  <c r="S33" i="16"/>
  <c r="S34" i="16"/>
  <c r="P61" i="16"/>
  <c r="R34" i="16"/>
  <c r="P34" i="16"/>
  <c r="Q33" i="16"/>
  <c r="O61" i="16"/>
  <c r="O54" i="16"/>
  <c r="O47" i="16"/>
  <c r="O53" i="16"/>
  <c r="K43" i="16"/>
  <c r="M60" i="16"/>
  <c r="M58" i="16"/>
  <c r="M57" i="16"/>
  <c r="M56" i="16"/>
  <c r="M55" i="16"/>
  <c r="M48" i="16"/>
  <c r="F53" i="14"/>
  <c r="F46" i="14"/>
  <c r="F45" i="14"/>
  <c r="F44" i="14"/>
  <c r="F43" i="14"/>
  <c r="F42" i="14"/>
  <c r="F41" i="14"/>
  <c r="O138" i="16" l="1"/>
  <c r="O146" i="16"/>
  <c r="O147" i="16"/>
  <c r="Q143" i="16"/>
  <c r="O137" i="16"/>
  <c r="M134" i="16"/>
  <c r="M131" i="16"/>
  <c r="Q127" i="16"/>
  <c r="P127" i="16"/>
  <c r="O127" i="16"/>
  <c r="R33" i="16"/>
  <c r="Q75" i="16"/>
  <c r="P112" i="16"/>
  <c r="P88" i="16"/>
  <c r="P87" i="16"/>
  <c r="R66" i="16"/>
  <c r="S64" i="16"/>
  <c r="R65" i="16"/>
  <c r="Y50" i="16"/>
  <c r="X51" i="16"/>
  <c r="T35" i="16"/>
  <c r="V35" i="16" s="1"/>
  <c r="S35" i="16"/>
  <c r="H84" i="16"/>
  <c r="F79" i="16"/>
  <c r="H80" i="16"/>
  <c r="G80" i="16"/>
  <c r="H79" i="16"/>
  <c r="G79" i="16"/>
  <c r="U47" i="16"/>
  <c r="T47" i="16"/>
  <c r="P66" i="16"/>
  <c r="J84" i="16"/>
  <c r="I84" i="16"/>
  <c r="F50" i="16"/>
  <c r="E82" i="16"/>
  <c r="B78" i="16"/>
  <c r="B74" i="16"/>
  <c r="C61" i="14"/>
  <c r="T34" i="16" l="1"/>
  <c r="L53" i="14"/>
  <c r="U28" i="16" l="1"/>
  <c r="V28" i="16"/>
  <c r="T29" i="16"/>
  <c r="T28" i="16"/>
  <c r="R26" i="16"/>
  <c r="D52" i="16" l="1"/>
  <c r="T15" i="16"/>
  <c r="M30" i="16"/>
  <c r="M29" i="16" l="1"/>
  <c r="E52" i="16"/>
  <c r="V52" i="16"/>
  <c r="V9" i="16"/>
  <c r="V8" i="16"/>
  <c r="T6" i="16"/>
  <c r="V6" i="16"/>
  <c r="J76" i="16"/>
  <c r="G56" i="16"/>
  <c r="G55" i="16"/>
  <c r="M32" i="16"/>
  <c r="O32" i="16"/>
  <c r="Q35" i="16"/>
  <c r="P35" i="16"/>
  <c r="M34" i="16"/>
  <c r="A29" i="16" l="1"/>
  <c r="A28" i="16"/>
  <c r="A27" i="16"/>
  <c r="Q3" i="16" l="1"/>
  <c r="P3" i="16"/>
  <c r="O105" i="16"/>
  <c r="M103" i="16"/>
  <c r="M104" i="16"/>
  <c r="M105" i="16"/>
  <c r="L102" i="16"/>
  <c r="N102" i="16"/>
  <c r="N101" i="16"/>
  <c r="L101" i="16"/>
  <c r="M94" i="16"/>
  <c r="S95" i="16"/>
  <c r="T91" i="16"/>
  <c r="U91" i="16" s="1"/>
  <c r="V91" i="16" s="1"/>
  <c r="T90" i="16"/>
  <c r="U90" i="16" s="1"/>
  <c r="P81" i="16"/>
  <c r="O81" i="16"/>
  <c r="O94" i="16" s="1"/>
  <c r="M81" i="16"/>
  <c r="M86" i="16"/>
  <c r="M89" i="16" s="1"/>
  <c r="M84" i="16"/>
  <c r="O84" i="16" s="1"/>
  <c r="M87" i="16"/>
  <c r="M75" i="16"/>
  <c r="M93" i="16" l="1"/>
  <c r="M83" i="16"/>
  <c r="Q84" i="16" s="1"/>
  <c r="M95" i="16"/>
  <c r="M82" i="16"/>
  <c r="M98" i="16"/>
  <c r="Q45" i="16"/>
  <c r="Q46" i="16" s="1"/>
  <c r="Q47" i="16" s="1"/>
  <c r="O74" i="16"/>
  <c r="P74" i="16" s="1"/>
  <c r="P84" i="16" l="1"/>
  <c r="R84" i="16" s="1"/>
  <c r="Q74" i="16"/>
  <c r="R74" i="16" s="1"/>
  <c r="M7" i="16" l="1"/>
  <c r="O7" i="16" s="1"/>
  <c r="Q6" i="16"/>
  <c r="M31" i="16"/>
  <c r="O31" i="16" s="1"/>
  <c r="P31" i="16" s="1"/>
  <c r="Q31" i="16" s="1"/>
  <c r="N51" i="16"/>
  <c r="M51" i="16"/>
  <c r="Q56" i="16" s="1"/>
  <c r="N65" i="16" l="1"/>
  <c r="M65" i="16"/>
  <c r="N39" i="16"/>
  <c r="M39" i="16"/>
  <c r="O42" i="16" s="1"/>
  <c r="I23" i="14" l="1"/>
  <c r="C50" i="14"/>
  <c r="G84" i="14"/>
  <c r="G83" i="14"/>
  <c r="C35" i="14"/>
  <c r="M4" i="16"/>
  <c r="N16" i="16"/>
  <c r="M15" i="16"/>
  <c r="M6" i="16"/>
  <c r="M8" i="16" s="1"/>
  <c r="M17" i="16" l="1"/>
  <c r="M22" i="16" s="1"/>
  <c r="M12" i="16"/>
  <c r="F28" i="14"/>
  <c r="F57" i="14" s="1"/>
  <c r="IV13" i="14" l="1"/>
  <c r="L49" i="14"/>
  <c r="L51" i="14"/>
  <c r="N45" i="14" l="1"/>
  <c r="I17" i="14" l="1"/>
  <c r="I46" i="14"/>
  <c r="O30" i="16" l="1"/>
  <c r="AK11" i="14"/>
  <c r="M3" i="16" l="1"/>
  <c r="M19" i="16" l="1"/>
  <c r="O19" i="16"/>
  <c r="M26" i="16"/>
  <c r="M73" i="16" s="1"/>
  <c r="O73" i="16" l="1"/>
  <c r="M76" i="16"/>
  <c r="O76" i="16" s="1"/>
  <c r="O22" i="16"/>
  <c r="M14" i="16"/>
  <c r="M24" i="16" s="1"/>
  <c r="M16" i="16"/>
  <c r="O16" i="16" s="1"/>
  <c r="O26" i="16"/>
  <c r="O17" i="16"/>
  <c r="O8" i="16"/>
  <c r="O4" i="16"/>
  <c r="O6" i="16"/>
  <c r="O20" i="16"/>
  <c r="O29" i="16"/>
  <c r="I50" i="16" s="1"/>
  <c r="O34" i="16"/>
  <c r="O3" i="16"/>
  <c r="Q32" i="16" l="1"/>
  <c r="P32" i="16"/>
  <c r="P14" i="16"/>
  <c r="P4" i="16"/>
  <c r="P7" i="16"/>
  <c r="Q7" i="16" s="1"/>
  <c r="O24" i="16"/>
  <c r="O12" i="16"/>
  <c r="O14" i="16"/>
  <c r="I41" i="14" l="1"/>
  <c r="I18" i="14"/>
  <c r="I19" i="14" s="1"/>
  <c r="J3" i="14"/>
  <c r="I9" i="14"/>
  <c r="M6" i="14"/>
  <c r="K5" i="14"/>
  <c r="L5" i="14" s="1"/>
  <c r="I40" i="14" l="1"/>
  <c r="K14" i="14"/>
  <c r="L20" i="14"/>
  <c r="L12" i="14"/>
  <c r="L11" i="14" s="1"/>
  <c r="L14" i="14"/>
  <c r="L16" i="14" s="1"/>
  <c r="K17" i="14"/>
  <c r="N53" i="14" l="1"/>
  <c r="S49" i="14"/>
  <c r="S48" i="14"/>
  <c r="R49" i="14"/>
  <c r="R48" i="14"/>
  <c r="Q49" i="14"/>
  <c r="Q48" i="14"/>
  <c r="P48" i="14"/>
  <c r="P49" i="14"/>
  <c r="O49" i="14"/>
  <c r="O48" i="14"/>
  <c r="N49" i="14"/>
  <c r="N48" i="14"/>
  <c r="N56" i="14"/>
  <c r="N55" i="14"/>
  <c r="O52" i="14"/>
  <c r="O51" i="14"/>
  <c r="P58" i="14"/>
  <c r="Q58" i="14" s="1"/>
  <c r="O58" i="14"/>
  <c r="Q59" i="14" l="1"/>
  <c r="N33" i="14"/>
  <c r="M33" i="14" s="1"/>
  <c r="N32" i="14"/>
  <c r="I42" i="14"/>
  <c r="K3" i="14"/>
  <c r="L3" i="14" s="1"/>
  <c r="N31" i="14" l="1"/>
  <c r="I14" i="14" l="1"/>
  <c r="I45" i="14"/>
  <c r="I22" i="14" l="1"/>
  <c r="I48" i="14" l="1"/>
  <c r="P44" i="14"/>
  <c r="P42" i="14"/>
  <c r="P43" i="14" s="1"/>
  <c r="P33" i="14"/>
  <c r="Q33" i="14" s="1"/>
  <c r="C62" i="14" l="1"/>
  <c r="N19" i="14"/>
  <c r="M28" i="14"/>
  <c r="N27" i="14"/>
  <c r="O27" i="14" s="1"/>
  <c r="P27" i="14" s="1"/>
  <c r="O24" i="14"/>
  <c r="O25" i="14" s="1"/>
  <c r="N24" i="14"/>
  <c r="N25" i="14" s="1"/>
  <c r="O28" i="14" l="1"/>
  <c r="P24" i="14"/>
  <c r="N28" i="14"/>
  <c r="M19" i="14"/>
  <c r="P28" i="14" l="1"/>
  <c r="P25" i="14"/>
  <c r="M39" i="14"/>
  <c r="M25" i="14"/>
  <c r="I10" i="14" l="1"/>
  <c r="I20" i="14"/>
  <c r="J26" i="14" s="1"/>
  <c r="I26" i="14" l="1"/>
  <c r="C10" i="14" l="1"/>
  <c r="C25" i="14" l="1"/>
  <c r="I16" i="14"/>
  <c r="K6" i="14"/>
  <c r="K8" i="14" l="1"/>
  <c r="I12" i="14"/>
  <c r="J29" i="14" l="1"/>
  <c r="K21" i="14" s="1"/>
  <c r="I29" i="14"/>
  <c r="J30" i="14"/>
  <c r="K12" i="14"/>
  <c r="I30" i="14"/>
  <c r="C16" i="14" l="1"/>
  <c r="C17" i="14" s="1"/>
  <c r="F40" i="14" l="1"/>
  <c r="F39" i="14"/>
  <c r="C15" i="14"/>
  <c r="C13" i="14"/>
  <c r="C36" i="14" l="1"/>
  <c r="AG5" i="14" s="1"/>
  <c r="AN25" i="14" l="1"/>
  <c r="AN47" i="14" s="1"/>
  <c r="AK76" i="14"/>
  <c r="AK66" i="14"/>
  <c r="AK68" i="14"/>
  <c r="AK69" i="14"/>
  <c r="AK70" i="14"/>
  <c r="AK71" i="14"/>
  <c r="AK72" i="14"/>
  <c r="AK73" i="14"/>
  <c r="AK74" i="14"/>
  <c r="AK75" i="14"/>
  <c r="AK67" i="14"/>
  <c r="F18" i="14"/>
  <c r="F12" i="14" s="1"/>
  <c r="N95" i="14"/>
  <c r="Q95" i="14" s="1"/>
  <c r="K95" i="14"/>
  <c r="L95" i="14" s="1"/>
  <c r="C20" i="14"/>
  <c r="C21" i="14" s="1"/>
  <c r="C18" i="14"/>
  <c r="C19" i="14"/>
  <c r="B96" i="14"/>
  <c r="B97" i="14" s="1"/>
  <c r="B98" i="14" s="1"/>
  <c r="B99" i="14" s="1"/>
  <c r="B100" i="14" s="1"/>
  <c r="C27" i="14" l="1"/>
  <c r="C28" i="14" s="1"/>
  <c r="C29" i="14" s="1"/>
  <c r="C23" i="14"/>
  <c r="K25" i="14" s="1"/>
  <c r="AM69" i="14"/>
  <c r="AM66" i="14"/>
  <c r="AM74" i="14"/>
  <c r="F13" i="14"/>
  <c r="AM71" i="14"/>
  <c r="AM68" i="14"/>
  <c r="AM70" i="14"/>
  <c r="AM73" i="14"/>
  <c r="AM72" i="14"/>
  <c r="AM67" i="14"/>
  <c r="AM75" i="14"/>
  <c r="AM76" i="14"/>
  <c r="Q96" i="14"/>
  <c r="F95" i="14"/>
  <c r="P95" i="14"/>
  <c r="K29" i="14" l="1"/>
  <c r="K30" i="14"/>
  <c r="K26" i="14"/>
  <c r="AD17" i="14"/>
  <c r="AD58" i="14"/>
  <c r="AD8" i="14"/>
  <c r="AD7" i="14"/>
  <c r="AD24" i="14"/>
  <c r="AD5" i="14"/>
  <c r="AD66" i="14"/>
  <c r="AD13" i="14"/>
  <c r="AD12" i="14"/>
  <c r="AD71" i="14"/>
  <c r="AD11" i="14"/>
  <c r="AD20" i="14"/>
  <c r="AD75" i="14"/>
  <c r="AD80" i="14"/>
  <c r="AD18" i="14"/>
  <c r="AD15" i="14"/>
  <c r="AD67" i="14"/>
  <c r="AD48" i="14"/>
  <c r="AD74" i="14"/>
  <c r="AD79" i="14"/>
  <c r="AD73" i="14"/>
  <c r="AD76" i="14"/>
  <c r="AD16" i="14"/>
  <c r="AD69" i="14"/>
  <c r="AD72" i="14"/>
  <c r="AD14" i="14"/>
  <c r="AD65" i="14"/>
  <c r="AD22" i="14"/>
  <c r="AD77" i="14"/>
  <c r="AD9" i="14"/>
  <c r="AD25" i="14"/>
  <c r="AD70" i="14"/>
  <c r="AD10" i="14"/>
  <c r="AD21" i="14"/>
  <c r="AD68" i="14"/>
  <c r="AD26" i="14"/>
  <c r="AD6" i="14"/>
  <c r="AD78" i="14"/>
  <c r="AD19" i="14"/>
  <c r="AE19" i="14" s="1"/>
  <c r="AD23" i="14"/>
  <c r="F15" i="14"/>
  <c r="F17" i="14" s="1"/>
  <c r="F21" i="14"/>
  <c r="C46" i="14" l="1"/>
  <c r="C24" i="14" s="1"/>
  <c r="F26" i="14"/>
  <c r="F19" i="14"/>
  <c r="F20" i="14"/>
  <c r="AE23" i="14"/>
  <c r="F25" i="14"/>
  <c r="AE73" i="14"/>
  <c r="AE68" i="14"/>
  <c r="E95" i="14"/>
  <c r="AE78" i="14"/>
  <c r="AE10" i="14"/>
  <c r="AE76" i="14"/>
  <c r="AE13" i="14"/>
  <c r="AE25" i="14"/>
  <c r="AE74" i="14"/>
  <c r="AE18" i="14"/>
  <c r="AE75" i="14"/>
  <c r="AE72" i="14"/>
  <c r="AE48" i="14"/>
  <c r="AE71" i="14"/>
  <c r="AE79" i="14"/>
  <c r="AE7" i="14"/>
  <c r="AE65" i="14"/>
  <c r="AE11" i="14"/>
  <c r="AE70" i="14"/>
  <c r="AE67" i="14"/>
  <c r="AE77" i="14"/>
  <c r="AE69" i="14"/>
  <c r="AE16" i="14"/>
  <c r="AE21" i="14"/>
  <c r="AE15" i="14"/>
  <c r="AE80" i="14"/>
  <c r="AE6" i="14"/>
  <c r="AE58" i="14"/>
  <c r="AE8" i="14"/>
  <c r="AE24" i="14"/>
  <c r="AE26" i="14"/>
  <c r="AE12" i="14"/>
  <c r="AE9" i="14"/>
  <c r="AE20" i="14"/>
  <c r="AE17" i="14"/>
  <c r="AE14" i="14"/>
  <c r="AE66" i="14"/>
  <c r="AE22" i="14"/>
  <c r="F22" i="14"/>
  <c r="IU9" i="14"/>
  <c r="C51" i="14"/>
  <c r="D95" i="14"/>
  <c r="C47" i="14" l="1"/>
  <c r="C48" i="14"/>
  <c r="M46" i="16" s="1"/>
  <c r="K56" i="14"/>
  <c r="F31" i="14"/>
  <c r="F32" i="14" s="1"/>
  <c r="F58" i="14"/>
  <c r="G7" i="14"/>
  <c r="I55" i="14"/>
  <c r="I56" i="14" s="1"/>
  <c r="F29" i="14"/>
  <c r="E96" i="14"/>
  <c r="C96" i="14" s="1"/>
  <c r="C26" i="14"/>
  <c r="C31" i="14"/>
  <c r="C52" i="14"/>
  <c r="IU10" i="14"/>
  <c r="R10" i="14"/>
  <c r="R11" i="14" s="1"/>
  <c r="IV9" i="14"/>
  <c r="O48" i="16" l="1"/>
  <c r="O55" i="16"/>
  <c r="G95" i="14"/>
  <c r="Q48" i="16"/>
  <c r="M47" i="16"/>
  <c r="S66" i="16"/>
  <c r="I28" i="14"/>
  <c r="I32" i="14" s="1"/>
  <c r="N22" i="14"/>
  <c r="N29" i="14" s="1"/>
  <c r="K10" i="14"/>
  <c r="C49" i="14"/>
  <c r="J27" i="14" s="1"/>
  <c r="J31" i="14" s="1"/>
  <c r="J28" i="14"/>
  <c r="J32" i="14" s="1"/>
  <c r="J34" i="14" s="1"/>
  <c r="J36" i="14" s="1"/>
  <c r="I95" i="14"/>
  <c r="H95" i="14" s="1"/>
  <c r="K28" i="14"/>
  <c r="K32" i="14" s="1"/>
  <c r="F30" i="14"/>
  <c r="D96" i="14"/>
  <c r="F55" i="14"/>
  <c r="E97" i="14"/>
  <c r="D97" i="14" s="1"/>
  <c r="I96" i="14"/>
  <c r="F59" i="14"/>
  <c r="F60" i="14" s="1"/>
  <c r="F54" i="14"/>
  <c r="C53" i="14"/>
  <c r="C33" i="14"/>
  <c r="M53" i="16" s="1"/>
  <c r="C32" i="14"/>
  <c r="C54" i="14"/>
  <c r="M41" i="16" s="1"/>
  <c r="K96" i="14"/>
  <c r="N96" i="14" s="1"/>
  <c r="J96" i="14"/>
  <c r="M96" i="14" s="1"/>
  <c r="P96" i="14" s="1"/>
  <c r="J100" i="14"/>
  <c r="J95" i="14"/>
  <c r="J98" i="14"/>
  <c r="J97" i="14"/>
  <c r="J99" i="14"/>
  <c r="O46" i="16" l="1"/>
  <c r="O43" i="16"/>
  <c r="O60" i="16"/>
  <c r="O57" i="16"/>
  <c r="R48" i="16"/>
  <c r="P64" i="16"/>
  <c r="M54" i="16"/>
  <c r="P53" i="16"/>
  <c r="Q53" i="16"/>
  <c r="I27" i="14"/>
  <c r="I31" i="14" s="1"/>
  <c r="J42" i="16"/>
  <c r="Q43" i="16"/>
  <c r="P46" i="16"/>
  <c r="K27" i="14"/>
  <c r="M9" i="14" s="1"/>
  <c r="I34" i="14"/>
  <c r="I36" i="14" s="1"/>
  <c r="N26" i="14"/>
  <c r="N30" i="14" s="1"/>
  <c r="N23" i="14"/>
  <c r="M22" i="14"/>
  <c r="K37" i="14"/>
  <c r="J37" i="14"/>
  <c r="I37" i="14"/>
  <c r="C38" i="14"/>
  <c r="K34" i="14"/>
  <c r="K36" i="14" s="1"/>
  <c r="L9" i="14"/>
  <c r="M36" i="14"/>
  <c r="I97" i="14"/>
  <c r="E98" i="14"/>
  <c r="D98" i="14" s="1"/>
  <c r="C97" i="14"/>
  <c r="O22" i="14"/>
  <c r="O19" i="14" s="1"/>
  <c r="M13" i="16"/>
  <c r="F56" i="14"/>
  <c r="C57" i="14"/>
  <c r="M45" i="16" s="1"/>
  <c r="M50" i="16" s="1"/>
  <c r="O56" i="16" s="1"/>
  <c r="M34" i="14"/>
  <c r="M35" i="14" s="1"/>
  <c r="C34" i="14"/>
  <c r="C55" i="14"/>
  <c r="K38" i="14" s="1"/>
  <c r="R96" i="14"/>
  <c r="S96" i="14" s="1"/>
  <c r="L96" i="14"/>
  <c r="O96" i="14" s="1"/>
  <c r="Q97" i="14"/>
  <c r="F96" i="14"/>
  <c r="K54" i="16" l="1"/>
  <c r="K47" i="16"/>
  <c r="R47" i="16"/>
  <c r="P47" i="16"/>
  <c r="P56" i="16"/>
  <c r="P50" i="16"/>
  <c r="M61" i="16"/>
  <c r="F65" i="16" s="1"/>
  <c r="G65" i="16" s="1"/>
  <c r="S67" i="16"/>
  <c r="R64" i="16"/>
  <c r="T64" i="16" s="1"/>
  <c r="O63" i="16"/>
  <c r="K9" i="14"/>
  <c r="M80" i="16"/>
  <c r="Q54" i="16"/>
  <c r="P54" i="16"/>
  <c r="P55" i="16"/>
  <c r="Q55" i="16"/>
  <c r="M52" i="16"/>
  <c r="P43" i="16"/>
  <c r="K31" i="14"/>
  <c r="K33" i="14" s="1"/>
  <c r="I58" i="14"/>
  <c r="J38" i="14"/>
  <c r="I38" i="14"/>
  <c r="C59" i="14"/>
  <c r="K41" i="14"/>
  <c r="K40" i="14" s="1"/>
  <c r="O13" i="16"/>
  <c r="M9" i="16"/>
  <c r="O9" i="16" s="1"/>
  <c r="M42" i="14"/>
  <c r="K22" i="14"/>
  <c r="N15" i="14"/>
  <c r="O11" i="14" s="1"/>
  <c r="M37" i="14"/>
  <c r="C98" i="14"/>
  <c r="O26" i="14"/>
  <c r="O23" i="14"/>
  <c r="P22" i="14"/>
  <c r="P29" i="14" s="1"/>
  <c r="O29" i="14"/>
  <c r="I33" i="14"/>
  <c r="I98" i="14"/>
  <c r="E99" i="14"/>
  <c r="M23" i="16"/>
  <c r="C58" i="14"/>
  <c r="M29" i="14"/>
  <c r="M23" i="14"/>
  <c r="M26" i="14"/>
  <c r="J33" i="14"/>
  <c r="J35" i="14" s="1"/>
  <c r="I49" i="14" s="1"/>
  <c r="I50" i="14" s="1"/>
  <c r="K50" i="14" s="1"/>
  <c r="C39" i="14"/>
  <c r="C40" i="14"/>
  <c r="M59" i="16" s="1"/>
  <c r="G96" i="14"/>
  <c r="O58" i="16" l="1"/>
  <c r="M102" i="16"/>
  <c r="O102" i="16" s="1"/>
  <c r="P80" i="16"/>
  <c r="O85" i="16"/>
  <c r="O80" i="16"/>
  <c r="F69" i="16"/>
  <c r="G69" i="16" s="1"/>
  <c r="H69" i="16" s="1"/>
  <c r="M66" i="16"/>
  <c r="M79" i="16" s="1"/>
  <c r="V83" i="16"/>
  <c r="J63" i="16"/>
  <c r="I63" i="16" s="1"/>
  <c r="O40" i="16"/>
  <c r="M44" i="16"/>
  <c r="Q13" i="16"/>
  <c r="P13" i="16"/>
  <c r="C60" i="14"/>
  <c r="I57" i="14"/>
  <c r="O23" i="16"/>
  <c r="M18" i="16"/>
  <c r="O18" i="16" s="1"/>
  <c r="N14" i="14"/>
  <c r="N13" i="14" s="1"/>
  <c r="N12" i="14" s="1"/>
  <c r="N11" i="14" s="1"/>
  <c r="O30" i="14"/>
  <c r="P23" i="14"/>
  <c r="P26" i="14"/>
  <c r="P30" i="14" s="1"/>
  <c r="I35" i="14"/>
  <c r="I99" i="14"/>
  <c r="E100" i="14"/>
  <c r="C99" i="14"/>
  <c r="D99" i="14"/>
  <c r="M30" i="14"/>
  <c r="K35" i="14"/>
  <c r="C41" i="14"/>
  <c r="C42" i="14"/>
  <c r="AG6" i="14"/>
  <c r="AG7" i="14" s="1"/>
  <c r="AG8" i="14" s="1"/>
  <c r="L97" i="14"/>
  <c r="O97" i="14" s="1"/>
  <c r="K97" i="14"/>
  <c r="M97" i="14"/>
  <c r="P97" i="14" s="1"/>
  <c r="T96" i="14"/>
  <c r="H96" i="14"/>
  <c r="U96" i="14"/>
  <c r="B66" i="14"/>
  <c r="F70" i="16" l="1"/>
  <c r="P83" i="16"/>
  <c r="M101" i="16"/>
  <c r="M70" i="16" s="1"/>
  <c r="R70" i="16" s="1"/>
  <c r="M90" i="16"/>
  <c r="M92" i="16"/>
  <c r="M88" i="16"/>
  <c r="O83" i="16"/>
  <c r="M97" i="16"/>
  <c r="S97" i="16" s="1"/>
  <c r="M96" i="16"/>
  <c r="F71" i="16"/>
  <c r="G71" i="16" s="1"/>
  <c r="H71" i="16" s="1"/>
  <c r="G70" i="16"/>
  <c r="H70" i="16" s="1"/>
  <c r="P23" i="16"/>
  <c r="Q17" i="16" s="1"/>
  <c r="P17" i="16"/>
  <c r="R13" i="16"/>
  <c r="Q8" i="16"/>
  <c r="R8" i="16" s="1"/>
  <c r="P8" i="16"/>
  <c r="S8" i="16" s="1"/>
  <c r="I100" i="14"/>
  <c r="D100" i="14"/>
  <c r="C100" i="14"/>
  <c r="AG14" i="14"/>
  <c r="AG13" i="14"/>
  <c r="AG16" i="14"/>
  <c r="AG15" i="14"/>
  <c r="C44" i="14"/>
  <c r="C45" i="14" s="1"/>
  <c r="C43" i="14"/>
  <c r="N97" i="14"/>
  <c r="R97" i="14"/>
  <c r="S97" i="14" s="1"/>
  <c r="I59" i="14" l="1"/>
  <c r="M56" i="14"/>
  <c r="AI4" i="14"/>
  <c r="I51" i="14"/>
  <c r="I52" i="14" s="1"/>
  <c r="Q98" i="14"/>
  <c r="F97" i="14"/>
  <c r="K52" i="14" l="1"/>
  <c r="L52" i="14"/>
  <c r="I60" i="14"/>
  <c r="AO4" i="14"/>
  <c r="AN4" i="14"/>
  <c r="AK4" i="14"/>
  <c r="AK8" i="14" s="1"/>
  <c r="AI5" i="14"/>
  <c r="AH4" i="14"/>
  <c r="I54" i="14"/>
  <c r="I53" i="14" s="1"/>
  <c r="I61" i="14"/>
  <c r="I62" i="14" s="1"/>
  <c r="G97" i="14"/>
  <c r="AI11" i="14" l="1"/>
  <c r="AI12" i="14" s="1"/>
  <c r="AJ14" i="14"/>
  <c r="AK14" i="14" s="1"/>
  <c r="AO5" i="14"/>
  <c r="AN5" i="14"/>
  <c r="AI6" i="14"/>
  <c r="AM4" i="14"/>
  <c r="AJ4" i="14" s="1"/>
  <c r="AH5" i="14"/>
  <c r="AL4" i="14"/>
  <c r="K98" i="14"/>
  <c r="M98" i="14"/>
  <c r="P98" i="14" s="1"/>
  <c r="L98" i="14"/>
  <c r="O98" i="14" s="1"/>
  <c r="H97" i="14"/>
  <c r="T97" i="14"/>
  <c r="AL11" i="14" l="1"/>
  <c r="AJ8" i="14"/>
  <c r="M27" i="16" s="1"/>
  <c r="AJ11" i="14"/>
  <c r="AK12" i="14" s="1"/>
  <c r="AH6" i="14"/>
  <c r="AL5" i="14"/>
  <c r="AM5" i="14"/>
  <c r="AO6" i="14"/>
  <c r="AI7" i="14"/>
  <c r="AN6" i="14"/>
  <c r="N98" i="14"/>
  <c r="R98" i="14"/>
  <c r="S98" i="14" s="1"/>
  <c r="O27" i="16" l="1"/>
  <c r="AO7" i="14"/>
  <c r="AI8" i="14"/>
  <c r="AN7" i="14"/>
  <c r="AL6" i="14"/>
  <c r="AH7" i="14"/>
  <c r="AM6" i="14"/>
  <c r="Q99" i="14"/>
  <c r="F98" i="14"/>
  <c r="AO8" i="14" l="1"/>
  <c r="AN8" i="14"/>
  <c r="AM7" i="14"/>
  <c r="AH8" i="14"/>
  <c r="AL7" i="14"/>
  <c r="G98" i="14"/>
  <c r="AM8" i="14" l="1"/>
  <c r="AL8" i="14"/>
  <c r="H98" i="14"/>
  <c r="T98" i="14"/>
  <c r="K99" i="14"/>
  <c r="L99" i="14"/>
  <c r="O99" i="14" s="1"/>
  <c r="M99" i="14"/>
  <c r="P99" i="14" s="1"/>
  <c r="N99" i="14" l="1"/>
  <c r="R99" i="14"/>
  <c r="S99" i="14" s="1"/>
  <c r="F99" i="14" l="1"/>
  <c r="Q100" i="14"/>
  <c r="G99" i="14" l="1"/>
  <c r="L100" i="14" l="1"/>
  <c r="O100" i="14" s="1"/>
  <c r="K100" i="14"/>
  <c r="M100" i="14"/>
  <c r="P100" i="14" s="1"/>
  <c r="H99" i="14"/>
  <c r="T99" i="14"/>
  <c r="N100" i="14" l="1"/>
  <c r="R100" i="14"/>
  <c r="S100" i="14" s="1"/>
  <c r="F100" i="14" l="1"/>
  <c r="G100" i="14" l="1"/>
  <c r="H100" i="14" l="1"/>
  <c r="T100" i="14"/>
  <c r="D66" i="14" l="1"/>
  <c r="C66" i="14"/>
  <c r="E66" i="14"/>
  <c r="M40" i="14" l="1"/>
  <c r="M41" i="14" l="1"/>
</calcChain>
</file>

<file path=xl/comments1.xml><?xml version="1.0" encoding="utf-8"?>
<comments xmlns="http://schemas.openxmlformats.org/spreadsheetml/2006/main">
  <authors>
    <author>Graham.Sortino</author>
    <author>Graham</author>
    <author>asd2323r</author>
  </authors>
  <commentList>
    <comment ref="B8" authorId="0">
      <text>
        <r>
          <rPr>
            <b/>
            <sz val="8"/>
            <color indexed="81"/>
            <rFont val="Tahoma"/>
            <family val="2"/>
          </rPr>
          <t>Graham.Sortino:</t>
        </r>
        <r>
          <rPr>
            <sz val="8"/>
            <color indexed="81"/>
            <rFont val="Tahoma"/>
            <family val="2"/>
          </rPr>
          <t xml:space="preserve">
see page 184 (table 5-5) for a list of specific heats for various propellants.
N.B.  1.24 is typically used for O2/RP-1
Specific Heat Ratio k = Specific Heat at Constat Pressure / Specific Heat at Constant Volume
see equation (3-5a) page 50.</t>
        </r>
      </text>
    </comment>
    <comment ref="E8" authorId="0">
      <text>
        <r>
          <rPr>
            <b/>
            <sz val="8"/>
            <color indexed="81"/>
            <rFont val="Tahoma"/>
            <family val="2"/>
          </rPr>
          <t>Graham.Sortino:</t>
        </r>
        <r>
          <rPr>
            <sz val="8"/>
            <color indexed="81"/>
            <rFont val="Tahoma"/>
            <family val="2"/>
          </rPr>
          <t xml:space="preserve">
Initial Velocity on the Earth's surface is 465 m/sec. I believe this is on the equator though.</t>
        </r>
      </text>
    </comment>
    <comment ref="H8" authorId="0">
      <text>
        <r>
          <rPr>
            <b/>
            <sz val="9"/>
            <color indexed="81"/>
            <rFont val="Tahoma"/>
            <family val="2"/>
          </rPr>
          <t>Graham.Sortino:</t>
        </r>
        <r>
          <rPr>
            <sz val="9"/>
            <color indexed="81"/>
            <rFont val="Tahoma"/>
            <family val="2"/>
          </rPr>
          <t xml:space="preserve">
Huzel sample-calc 4-3 (a) p887 says this is calculated from 1-32a and 1-41 but this looks to be for velocity not temp. So I will not calculate this for now but leave it up for the user to input a value. Also, see Huzel solution 4-1 (a) p70 for some examples of solving for the correction factor.
</t>
        </r>
      </text>
    </comment>
    <comment ref="Q8" authorId="0">
      <text>
        <r>
          <rPr>
            <b/>
            <sz val="8"/>
            <color indexed="81"/>
            <rFont val="Tahoma"/>
            <family val="2"/>
          </rPr>
          <t>Graham.Sortino:</t>
        </r>
        <r>
          <rPr>
            <sz val="8"/>
            <color indexed="81"/>
            <rFont val="Tahoma"/>
            <family val="2"/>
          </rPr>
          <t xml:space="preserve">
this is the initial flight launch angle. For a plane based rocket this number is probably close to 0 and for a vertically launched rocket this number is close to 90 degrees.
This is the c value in the quadratc function</t>
        </r>
      </text>
    </comment>
    <comment ref="B9" authorId="0">
      <text>
        <r>
          <rPr>
            <b/>
            <sz val="9"/>
            <color indexed="81"/>
            <rFont val="Tahoma"/>
            <family val="2"/>
          </rPr>
          <t>Graham.Sortino:</t>
        </r>
        <r>
          <rPr>
            <sz val="9"/>
            <color indexed="81"/>
            <rFont val="Tahoma"/>
            <family val="2"/>
          </rPr>
          <t xml:space="preserve">
take from RPA or a suitable resource. See gas constant (R) comments for more details.</t>
        </r>
      </text>
    </comment>
    <comment ref="E9" authorId="0">
      <text>
        <r>
          <rPr>
            <b/>
            <sz val="8"/>
            <color indexed="81"/>
            <rFont val="Tahoma"/>
            <family val="2"/>
          </rPr>
          <t>Graham.Sortino:</t>
        </r>
        <r>
          <rPr>
            <sz val="8"/>
            <color indexed="81"/>
            <rFont val="Tahoma"/>
            <family val="2"/>
          </rPr>
          <t xml:space="preserve">
This parameter along with Force guides the choice of mass flow rate and that selects propellent mass.
This parameter is a guidance value only and is not guaranteed to equal cutoff velocity.</t>
        </r>
      </text>
    </comment>
    <comment ref="H9" authorId="0">
      <text>
        <r>
          <rPr>
            <b/>
            <sz val="9"/>
            <color indexed="81"/>
            <rFont val="Tahoma"/>
            <family val="2"/>
          </rPr>
          <t>Graham.Sortino:</t>
        </r>
        <r>
          <rPr>
            <sz val="9"/>
            <color indexed="81"/>
            <rFont val="Tahoma"/>
            <family val="2"/>
          </rPr>
          <t xml:space="preserve">
see Sample calc 4-3  (a) (Huzel) p87</t>
        </r>
      </text>
    </comment>
    <comment ref="Q9" authorId="0">
      <text>
        <r>
          <rPr>
            <b/>
            <sz val="8"/>
            <color indexed="81"/>
            <rFont val="Tahoma"/>
            <family val="2"/>
          </rPr>
          <t>Graham.Sortino:</t>
        </r>
        <r>
          <rPr>
            <sz val="8"/>
            <color indexed="81"/>
            <rFont val="Tahoma"/>
            <family val="2"/>
          </rPr>
          <t xml:space="preserve">
This is the maximum angle attained during flight.</t>
        </r>
      </text>
    </comment>
    <comment ref="B10" authorId="0">
      <text>
        <r>
          <rPr>
            <b/>
            <sz val="8"/>
            <color indexed="81"/>
            <rFont val="Tahoma"/>
            <family val="2"/>
          </rPr>
          <t>Graham.Sortino:</t>
        </r>
        <r>
          <rPr>
            <sz val="8"/>
            <color indexed="81"/>
            <rFont val="Tahoma"/>
            <family val="2"/>
          </rPr>
          <t xml:space="preserve">
see p50 for info on gas constant. It is calculated as the Universal Gas Constant divided by the molecular mass of the propellant.
Universal Gas Constant = 8,314.3 J/kg mol-K (or 1544 ft-lb/lb mol-</t>
        </r>
        <r>
          <rPr>
            <vertAlign val="superscript"/>
            <sz val="8"/>
            <color indexed="81"/>
            <rFont val="Tahoma"/>
            <family val="2"/>
          </rPr>
          <t>o</t>
        </r>
        <r>
          <rPr>
            <sz val="8"/>
            <color indexed="81"/>
            <rFont val="Tahoma"/>
            <family val="2"/>
          </rPr>
          <t>R)
See p184 (table 5-5) for the molecular mass of common rocket propellants. 
21.9 kg/mol  is the molecular mass of O2/RP-1. So
R = 8,314.3 / 21.9 = 379.6484</t>
        </r>
      </text>
    </comment>
    <comment ref="H10" authorId="0">
      <text>
        <r>
          <rPr>
            <b/>
            <sz val="9"/>
            <color indexed="81"/>
            <rFont val="Tahoma"/>
            <family val="2"/>
          </rPr>
          <t>Graham.Sortino:</t>
        </r>
        <r>
          <rPr>
            <sz val="9"/>
            <color indexed="81"/>
            <rFont val="Tahoma"/>
            <family val="2"/>
          </rPr>
          <t xml:space="preserve">
see Sample calc 4-3  (a) (Huzel) p87</t>
        </r>
      </text>
    </comment>
    <comment ref="Q10" authorId="0">
      <text>
        <r>
          <rPr>
            <b/>
            <sz val="8"/>
            <color indexed="81"/>
            <rFont val="Tahoma"/>
            <family val="2"/>
          </rPr>
          <t>Graham.Sortino:</t>
        </r>
        <r>
          <rPr>
            <sz val="8"/>
            <color indexed="81"/>
            <rFont val="Tahoma"/>
            <family val="2"/>
          </rPr>
          <t xml:space="preserve">
a value  in the quadratic function</t>
        </r>
      </text>
    </comment>
    <comment ref="B11" authorId="1">
      <text>
        <r>
          <rPr>
            <b/>
            <sz val="8"/>
            <color indexed="81"/>
            <rFont val="Tahoma"/>
            <family val="2"/>
          </rPr>
          <t>Graham:</t>
        </r>
        <r>
          <rPr>
            <sz val="8"/>
            <color indexed="81"/>
            <rFont val="Tahoma"/>
            <family val="2"/>
          </rPr>
          <t xml:space="preserve">
Temperature at the Nozzle inlet. 
See page 184 (table 5-5) for chamber temperatures for various propellents.
N.B. 3571 is typically used for O2/RP1</t>
        </r>
      </text>
    </comment>
    <comment ref="H11" authorId="2">
      <text>
        <r>
          <rPr>
            <b/>
            <sz val="9"/>
            <color indexed="81"/>
            <rFont val="Tahoma"/>
            <family val="2"/>
          </rPr>
          <t>asd2323r:</t>
        </r>
        <r>
          <rPr>
            <sz val="9"/>
            <color indexed="81"/>
            <rFont val="Tahoma"/>
            <family val="2"/>
          </rPr>
          <t xml:space="preserve">
not sure how to calculate this but can be taken from RPA</t>
        </r>
      </text>
    </comment>
    <comment ref="Q11" authorId="0">
      <text>
        <r>
          <rPr>
            <b/>
            <sz val="8"/>
            <color indexed="81"/>
            <rFont val="Tahoma"/>
            <family val="2"/>
          </rPr>
          <t>Graham.Sortino:</t>
        </r>
        <r>
          <rPr>
            <sz val="8"/>
            <color indexed="81"/>
            <rFont val="Tahoma"/>
            <family val="2"/>
          </rPr>
          <t xml:space="preserve">
b value  in the quadratic function</t>
        </r>
      </text>
    </comment>
    <comment ref="B12" authorId="0">
      <text>
        <r>
          <rPr>
            <b/>
            <sz val="9"/>
            <color indexed="81"/>
            <rFont val="Tahoma"/>
            <family val="2"/>
          </rPr>
          <t>Graham.Sortino:</t>
        </r>
        <r>
          <rPr>
            <sz val="9"/>
            <color indexed="81"/>
            <rFont val="Tahoma"/>
            <family val="2"/>
          </rPr>
          <t xml:space="preserve">
select a p1 that provides maximum velocity within acceptable design limitations. 
In otherwords don't choose an initial pressure so high that the engine is very difficult to build. 
Favorable performance for O2/RP-1 has been seen with p1 between 100 and 3400 psia.</t>
        </r>
      </text>
    </comment>
    <comment ref="E12" authorId="0">
      <text>
        <r>
          <rPr>
            <b/>
            <sz val="8"/>
            <color indexed="81"/>
            <rFont val="Tahoma"/>
            <family val="2"/>
          </rPr>
          <t>Graham.Sortino:</t>
        </r>
        <r>
          <rPr>
            <sz val="8"/>
            <color indexed="81"/>
            <rFont val="Tahoma"/>
            <family val="2"/>
          </rPr>
          <t xml:space="preserve">
This value represents the maximum allowable force. It is a mission parameter and depends chiefly on whether the flight is manned or un-manned.
F</t>
        </r>
        <r>
          <rPr>
            <vertAlign val="subscript"/>
            <sz val="8"/>
            <color indexed="81"/>
            <rFont val="Tahoma"/>
            <family val="2"/>
          </rPr>
          <t>max</t>
        </r>
        <r>
          <rPr>
            <sz val="8"/>
            <color indexed="81"/>
            <rFont val="Tahoma"/>
            <family val="2"/>
          </rPr>
          <t xml:space="preserve"> = mf*a</t>
        </r>
      </text>
    </comment>
    <comment ref="H12" authorId="0">
      <text>
        <r>
          <rPr>
            <b/>
            <sz val="9"/>
            <color indexed="81"/>
            <rFont val="Tahoma"/>
            <family val="2"/>
          </rPr>
          <t>Graham.Sortino:</t>
        </r>
        <r>
          <rPr>
            <sz val="9"/>
            <color indexed="81"/>
            <rFont val="Tahoma"/>
            <family val="2"/>
          </rPr>
          <t xml:space="preserve">
see huzel equation 4-15 (p86)
Note - a better estimation can be found by using the method from http://en.wikipedia.org/wiki/Prandtl_number.
Or simply take from RPA</t>
        </r>
      </text>
    </comment>
    <comment ref="E13" authorId="0">
      <text>
        <r>
          <rPr>
            <b/>
            <sz val="8"/>
            <color indexed="81"/>
            <rFont val="Tahoma"/>
            <family val="2"/>
          </rPr>
          <t>Graham.Sortino:</t>
        </r>
        <r>
          <rPr>
            <sz val="8"/>
            <color indexed="81"/>
            <rFont val="Tahoma"/>
            <family val="2"/>
          </rPr>
          <t xml:space="preserve">
This value represents the maximum allowable force. It is a mission parameter and depends chiefly on whether the flight is manned or un-manned.
F</t>
        </r>
        <r>
          <rPr>
            <vertAlign val="subscript"/>
            <sz val="8"/>
            <color indexed="81"/>
            <rFont val="Tahoma"/>
            <family val="2"/>
          </rPr>
          <t>max</t>
        </r>
        <r>
          <rPr>
            <sz val="8"/>
            <color indexed="81"/>
            <rFont val="Tahoma"/>
            <family val="2"/>
          </rPr>
          <t xml:space="preserve"> = mf*a</t>
        </r>
      </text>
    </comment>
    <comment ref="H13" authorId="0">
      <text>
        <r>
          <rPr>
            <b/>
            <sz val="9"/>
            <color indexed="81"/>
            <rFont val="Tahoma"/>
            <family val="2"/>
          </rPr>
          <t>Graham.Sortino:</t>
        </r>
        <r>
          <rPr>
            <sz val="9"/>
            <color indexed="81"/>
            <rFont val="Tahoma"/>
            <family val="2"/>
          </rPr>
          <t xml:space="preserve">
This is a desired temperature based on the properties of the wall material + an allowable tolerence.
Some references:
Aluminum 6061: http://asm.matweb.com/search/SpecificMaterial.asp?bassnum=MA6061t6</t>
        </r>
      </text>
    </comment>
    <comment ref="B14" authorId="0">
      <text>
        <r>
          <rPr>
            <b/>
            <sz val="9"/>
            <color indexed="81"/>
            <rFont val="Tahoma"/>
            <family val="2"/>
          </rPr>
          <t>Graham.Sortino:</t>
        </r>
        <r>
          <rPr>
            <sz val="9"/>
            <color indexed="81"/>
            <rFont val="Tahoma"/>
            <family val="2"/>
          </rPr>
          <t xml:space="preserve">
p2 can easily be selected based upon the mission of the rocket. Optimum expansion is when p2 = p3. So select a value based on this condition see "Properties of Atmosphere" tab for pressures at various altitudes.</t>
        </r>
      </text>
    </comment>
    <comment ref="H14" authorId="0">
      <text>
        <r>
          <rPr>
            <b/>
            <sz val="9"/>
            <color indexed="81"/>
            <rFont val="Tahoma"/>
            <family val="2"/>
          </rPr>
          <t>Graham.Sortino:</t>
        </r>
        <r>
          <rPr>
            <sz val="9"/>
            <color indexed="81"/>
            <rFont val="Tahoma"/>
            <family val="2"/>
          </rPr>
          <t xml:space="preserve">
This is a desired temperature based on the properties of the wall material + an allowable tolerence.
Some references:
Aluminum 6061: http://asm.matweb.com/search/SpecificMaterial.asp?bassnum=MA6061t6</t>
        </r>
      </text>
    </comment>
    <comment ref="E15" authorId="0">
      <text>
        <r>
          <rPr>
            <b/>
            <sz val="8"/>
            <color indexed="81"/>
            <rFont val="Tahoma"/>
            <family val="2"/>
          </rPr>
          <t>Graham.Sortino:</t>
        </r>
        <r>
          <rPr>
            <sz val="8"/>
            <color indexed="81"/>
            <rFont val="Tahoma"/>
            <family val="2"/>
          </rPr>
          <t xml:space="preserve">
Solving for mp given mf. See equation 4-8 for an example.
An alternative is to use  a reballancing of equation 4-7 where we solve for mp. See p331 for an example.</t>
        </r>
      </text>
    </comment>
    <comment ref="H15" authorId="0">
      <text>
        <r>
          <rPr>
            <b/>
            <sz val="9"/>
            <color indexed="81"/>
            <rFont val="Tahoma"/>
            <family val="2"/>
          </rPr>
          <t>Graham.Sortino:</t>
        </r>
        <r>
          <rPr>
            <sz val="9"/>
            <color indexed="81"/>
            <rFont val="Tahoma"/>
            <family val="2"/>
          </rPr>
          <t xml:space="preserve">
Estimated from .9 to .98 (see p85) of Huzel
typically .923 is used as an estimated value.</t>
        </r>
      </text>
    </comment>
    <comment ref="I15" authorId="2">
      <text>
        <r>
          <rPr>
            <b/>
            <sz val="9"/>
            <color indexed="81"/>
            <rFont val="Tahoma"/>
            <family val="2"/>
          </rPr>
          <t>asd2323r:</t>
        </r>
        <r>
          <rPr>
            <sz val="9"/>
            <color indexed="81"/>
            <rFont val="Tahoma"/>
            <family val="2"/>
          </rPr>
          <t xml:space="preserve">
this is not currently used as its been replaced by the calculated stagnation recovery factor. See calcuation of Adiabatic Wall Temp (Taw) for details.</t>
        </r>
      </text>
    </comment>
    <comment ref="B16" authorId="0">
      <text>
        <r>
          <rPr>
            <b/>
            <sz val="9"/>
            <color indexed="81"/>
            <rFont val="Tahoma"/>
            <family val="2"/>
          </rPr>
          <t>Graham.Sortino:</t>
        </r>
        <r>
          <rPr>
            <sz val="9"/>
            <color indexed="81"/>
            <rFont val="Tahoma"/>
            <family val="2"/>
          </rPr>
          <t xml:space="preserve">
Typically this will be optimum expansion where p2 = p3.</t>
        </r>
      </text>
    </comment>
    <comment ref="E16" authorId="0">
      <text>
        <r>
          <rPr>
            <b/>
            <sz val="8"/>
            <color indexed="81"/>
            <rFont val="Tahoma"/>
            <family val="2"/>
          </rPr>
          <t>Graham.Sortino:</t>
        </r>
        <r>
          <rPr>
            <sz val="8"/>
            <color indexed="81"/>
            <rFont val="Tahoma"/>
            <family val="2"/>
          </rPr>
          <t xml:space="preserve">
inert hardware includes: tanks, gas, generator, turbopumps, etc…
Typical value is 7% of propellent mass</t>
        </r>
      </text>
    </comment>
    <comment ref="H16" authorId="2">
      <text>
        <r>
          <rPr>
            <b/>
            <sz val="9"/>
            <color indexed="81"/>
            <rFont val="Tahoma"/>
            <family val="2"/>
          </rPr>
          <t>asd2323r:</t>
        </r>
        <r>
          <rPr>
            <sz val="9"/>
            <color indexed="81"/>
            <rFont val="Tahoma"/>
            <family val="2"/>
          </rPr>
          <t xml:space="preserve">
see sample calculation 4-3 (a) from Huzel and Huang (top of p87) for details</t>
        </r>
      </text>
    </comment>
    <comment ref="H17" authorId="0">
      <text>
        <r>
          <rPr>
            <b/>
            <sz val="9"/>
            <color indexed="81"/>
            <rFont val="Tahoma"/>
            <family val="2"/>
          </rPr>
          <t>Graham.Sortino:</t>
        </r>
        <r>
          <rPr>
            <sz val="9"/>
            <color indexed="81"/>
            <rFont val="Tahoma"/>
            <family val="2"/>
          </rPr>
          <t xml:space="preserve">
according to the following linke the conversion factor is: 0.0002388458966275. We also multiply the metric value by 1000 to go from kj to joule.
http://metricsystemconversion.info/British-thermal-unitIT-per-pound-degree-Rankine-BtuIT-lb-%B7-%BAR-to-joule-per-kilogram-kelvin-J-kg-%B7-K.html?func=detail</t>
        </r>
      </text>
    </comment>
    <comment ref="H18" authorId="2">
      <text>
        <r>
          <rPr>
            <b/>
            <sz val="9"/>
            <color indexed="81"/>
            <rFont val="Tahoma"/>
            <family val="2"/>
          </rPr>
          <t>asd2323r:</t>
        </r>
        <r>
          <rPr>
            <sz val="9"/>
            <color indexed="81"/>
            <rFont val="Tahoma"/>
            <family val="2"/>
          </rPr>
          <t xml:space="preserve">
This can be taken from 4-16 in huzel and huang. However, its also available in RPA so I'm taking it from there instead.</t>
        </r>
      </text>
    </comment>
    <comment ref="E19" authorId="0">
      <text>
        <r>
          <rPr>
            <b/>
            <sz val="8"/>
            <color indexed="81"/>
            <rFont val="Tahoma"/>
            <family val="2"/>
          </rPr>
          <t>Graham.Sortino:</t>
        </r>
        <r>
          <rPr>
            <sz val="8"/>
            <color indexed="81"/>
            <rFont val="Tahoma"/>
            <family val="2"/>
          </rPr>
          <t xml:space="preserve">
Final Mass / Initial Mass</t>
        </r>
      </text>
    </comment>
    <comment ref="H19" authorId="0">
      <text>
        <r>
          <rPr>
            <b/>
            <sz val="9"/>
            <color indexed="81"/>
            <rFont val="Tahoma"/>
            <family val="2"/>
          </rPr>
          <t>Graham.Sortino:</t>
        </r>
        <r>
          <rPr>
            <sz val="9"/>
            <color indexed="81"/>
            <rFont val="Tahoma"/>
            <family val="2"/>
          </rPr>
          <t xml:space="preserve">
See equation 4-16 Huzel (p86). If actual data is available then it can be substituted in.</t>
        </r>
      </text>
    </comment>
    <comment ref="B20" authorId="0">
      <text>
        <r>
          <rPr>
            <b/>
            <sz val="8"/>
            <color indexed="81"/>
            <rFont val="Tahoma"/>
            <family val="2"/>
          </rPr>
          <t>Graham.Sortino:</t>
        </r>
        <r>
          <rPr>
            <sz val="8"/>
            <color indexed="81"/>
            <rFont val="Tahoma"/>
            <family val="2"/>
          </rPr>
          <t xml:space="preserve">
calculated from 3-20</t>
        </r>
      </text>
    </comment>
    <comment ref="E20" authorId="0">
      <text>
        <r>
          <rPr>
            <b/>
            <sz val="8"/>
            <color indexed="81"/>
            <rFont val="Tahoma"/>
            <family val="2"/>
          </rPr>
          <t>Graham.Sortino:</t>
        </r>
        <r>
          <rPr>
            <sz val="8"/>
            <color indexed="81"/>
            <rFont val="Tahoma"/>
            <family val="2"/>
          </rPr>
          <t xml:space="preserve">
Initial Mass / Final Mass
See figure 4-2 for charted values in a gravity free environment</t>
        </r>
      </text>
    </comment>
    <comment ref="H20" authorId="0">
      <text>
        <r>
          <rPr>
            <b/>
            <sz val="9"/>
            <color indexed="81"/>
            <rFont val="Tahoma"/>
            <family val="2"/>
          </rPr>
          <t>Graham.Sortino:</t>
        </r>
        <r>
          <rPr>
            <sz val="9"/>
            <color indexed="81"/>
            <rFont val="Tahoma"/>
            <family val="2"/>
          </rPr>
          <t xml:space="preserve">
I'm still not sure exactly what this is but I think it assumes some sort of hypothetical scenario where the wall temp aproaches it's limit.
It seems that this has a strong correlation with sigma and thus it affects the gas side heat coefficient. A value closer to 1 decreases the heat coefficient.
See fig 4-28 page 86 of Huzel and sample calc 4-3 (a) p87 for more information on this value.</t>
        </r>
      </text>
    </comment>
    <comment ref="B21" authorId="0">
      <text>
        <r>
          <rPr>
            <b/>
            <sz val="8"/>
            <color indexed="81"/>
            <rFont val="Tahoma"/>
            <family val="2"/>
          </rPr>
          <t>Graham.Sortino:</t>
        </r>
        <r>
          <rPr>
            <sz val="8"/>
            <color indexed="81"/>
            <rFont val="Tahoma"/>
            <family val="2"/>
          </rPr>
          <t xml:space="preserve">
calculated from 3-20</t>
        </r>
      </text>
    </comment>
    <comment ref="E21" authorId="0">
      <text>
        <r>
          <rPr>
            <b/>
            <sz val="8"/>
            <color indexed="81"/>
            <rFont val="Tahoma"/>
            <family val="2"/>
          </rPr>
          <t>Graham.Sortino:</t>
        </r>
        <r>
          <rPr>
            <sz val="8"/>
            <color indexed="81"/>
            <rFont val="Tahoma"/>
            <family val="2"/>
          </rPr>
          <t xml:space="preserve">
&lt;--- Represents the amount of propellent used per second
Mass flow rate may be very simply calculated by taking the usable propellant mass and dividing it by the burn time. This of course assumes equal burn.</t>
        </r>
      </text>
    </comment>
    <comment ref="H21" authorId="0">
      <text>
        <r>
          <rPr>
            <b/>
            <sz val="9"/>
            <color indexed="81"/>
            <rFont val="Tahoma"/>
            <family val="2"/>
          </rPr>
          <t>Graham.Sortino:</t>
        </r>
        <r>
          <rPr>
            <sz val="9"/>
            <color indexed="81"/>
            <rFont val="Tahoma"/>
            <family val="2"/>
          </rPr>
          <t xml:space="preserve">
look this up in material data sheets. Thermal conductivity is dependent on temperature so keep that in mind when researching this value.</t>
        </r>
      </text>
    </comment>
    <comment ref="B22" authorId="1">
      <text>
        <r>
          <rPr>
            <b/>
            <sz val="8"/>
            <color indexed="81"/>
            <rFont val="Tahoma"/>
            <family val="2"/>
          </rPr>
          <t>Graham:</t>
        </r>
        <r>
          <rPr>
            <sz val="8"/>
            <color indexed="81"/>
            <rFont val="Tahoma"/>
            <family val="2"/>
          </rPr>
          <t xml:space="preserve">
Used to calculate the effective percentage loss in Ideal Velocity due to drag forces. Typical Values are between 5 and 10%. 
See bottom of page 108 for more details.</t>
        </r>
      </text>
    </comment>
    <comment ref="H22" authorId="0">
      <text>
        <r>
          <rPr>
            <b/>
            <sz val="9"/>
            <color indexed="81"/>
            <rFont val="Tahoma"/>
            <family val="2"/>
          </rPr>
          <t>Graham.Sortino:</t>
        </r>
        <r>
          <rPr>
            <sz val="9"/>
            <color indexed="81"/>
            <rFont val="Tahoma"/>
            <family val="2"/>
          </rPr>
          <t xml:space="preserve">
look this up in material data sheets. Thermal conductivity is dependent on temperature so keep that in mind when researching this value.</t>
        </r>
      </text>
    </comment>
    <comment ref="I22" authorId="2">
      <text>
        <r>
          <rPr>
            <b/>
            <sz val="9"/>
            <color indexed="81"/>
            <rFont val="Tahoma"/>
            <family val="2"/>
          </rPr>
          <t>asd2323r:</t>
        </r>
        <r>
          <rPr>
            <sz val="9"/>
            <color indexed="81"/>
            <rFont val="Tahoma"/>
            <family val="2"/>
          </rPr>
          <t xml:space="preserve">
this conversion is mashed up from taking the 1 W/m/k = 0.001925964 BTU (IT) in/sec/ft^2/oF found here: http://www.unitconversion.org/unit_converter/thermal-conductivity.html and dividing by 144 to convert from square feet to square inches.</t>
        </r>
      </text>
    </comment>
    <comment ref="B23" authorId="0">
      <text>
        <r>
          <rPr>
            <b/>
            <sz val="8"/>
            <color indexed="81"/>
            <rFont val="Tahoma"/>
            <family val="2"/>
          </rPr>
          <t>Graham.Sortino:</t>
        </r>
        <r>
          <rPr>
            <sz val="8"/>
            <color indexed="81"/>
            <rFont val="Tahoma"/>
            <family val="2"/>
          </rPr>
          <t xml:space="preserve">
calculated from 3-16</t>
        </r>
      </text>
    </comment>
    <comment ref="B24" authorId="0">
      <text>
        <r>
          <rPr>
            <b/>
            <sz val="9"/>
            <color indexed="81"/>
            <rFont val="Tahoma"/>
            <family val="2"/>
          </rPr>
          <t>Graham.Sortino:</t>
        </r>
        <r>
          <rPr>
            <sz val="9"/>
            <color indexed="81"/>
            <rFont val="Tahoma"/>
            <family val="2"/>
          </rPr>
          <t xml:space="preserve">
Determined from 3-32 (Sutton) p68. Actual Equation (left most equation)</t>
        </r>
      </text>
    </comment>
    <comment ref="B25" authorId="0">
      <text>
        <r>
          <rPr>
            <b/>
            <sz val="9"/>
            <color indexed="81"/>
            <rFont val="Tahoma"/>
            <family val="2"/>
          </rPr>
          <t>Graham.Sortino:</t>
        </r>
        <r>
          <rPr>
            <sz val="9"/>
            <color indexed="81"/>
            <rFont val="Tahoma"/>
            <family val="2"/>
          </rPr>
          <t xml:space="preserve">
Determined from 3-32 (Sutton) p68. Actual Equation (right most equation).</t>
        </r>
      </text>
    </comment>
    <comment ref="E25" authorId="0">
      <text>
        <r>
          <rPr>
            <b/>
            <sz val="8"/>
            <color indexed="81"/>
            <rFont val="Tahoma"/>
            <family val="2"/>
          </rPr>
          <t>Graham.Sortino:</t>
        </r>
        <r>
          <rPr>
            <sz val="8"/>
            <color indexed="81"/>
            <rFont val="Tahoma"/>
            <family val="2"/>
          </rPr>
          <t xml:space="preserve">
&lt;--- Represents the amount of propellent used per second
Mass flow rate may be very simply calculated by taking the usable propellant mass and dividing it by the burn time. This of course assumes equal burn.</t>
        </r>
      </text>
    </comment>
    <comment ref="H25" authorId="0">
      <text>
        <r>
          <rPr>
            <b/>
            <sz val="9"/>
            <color indexed="81"/>
            <rFont val="Tahoma"/>
            <family val="2"/>
          </rPr>
          <t>Graham.Sortino:</t>
        </r>
        <r>
          <rPr>
            <sz val="9"/>
            <color indexed="81"/>
            <rFont val="Tahoma"/>
            <family val="2"/>
          </rPr>
          <t xml:space="preserve">
calculatedv via 3-11 (Sutton) p51. Throat will always be 1 and I'm not sure how to calculate chamber because I don't know how to obtain chamber velocity.</t>
        </r>
      </text>
    </comment>
    <comment ref="I25" authorId="0">
      <text>
        <r>
          <rPr>
            <b/>
            <sz val="9"/>
            <color indexed="81"/>
            <rFont val="Tahoma"/>
            <family val="2"/>
          </rPr>
          <t>Graham.Sortino:</t>
        </r>
        <r>
          <rPr>
            <sz val="9"/>
            <color indexed="81"/>
            <rFont val="Tahoma"/>
            <family val="2"/>
          </rPr>
          <t xml:space="preserve">
guess for now?</t>
        </r>
      </text>
    </comment>
    <comment ref="E26" authorId="0">
      <text>
        <r>
          <rPr>
            <b/>
            <sz val="8"/>
            <color indexed="81"/>
            <rFont val="Tahoma"/>
            <family val="2"/>
          </rPr>
          <t>Graham.Sortino:</t>
        </r>
        <r>
          <rPr>
            <sz val="8"/>
            <color indexed="81"/>
            <rFont val="Tahoma"/>
            <family val="2"/>
          </rPr>
          <t xml:space="preserve">
&lt;--- Represents the amount of propellent used per second
Mass flow rate may be very simply calculated by taking the usable propellant mass and dividing it by the burn time. This of course assumes equal burn.</t>
        </r>
      </text>
    </comment>
    <comment ref="H26" authorId="0">
      <text>
        <r>
          <rPr>
            <b/>
            <sz val="9"/>
            <color indexed="81"/>
            <rFont val="Tahoma"/>
            <family val="2"/>
          </rPr>
          <t>Graham.Sortino:</t>
        </r>
        <r>
          <rPr>
            <sz val="9"/>
            <color indexed="81"/>
            <rFont val="Tahoma"/>
            <family val="2"/>
          </rPr>
          <t xml:space="preserve">
Calculated from 4-14 Huzel p86</t>
        </r>
      </text>
    </comment>
    <comment ref="E27" authorId="0">
      <text>
        <r>
          <rPr>
            <b/>
            <sz val="9"/>
            <color indexed="81"/>
            <rFont val="Tahoma"/>
            <family val="2"/>
          </rPr>
          <t>Graham.Sortino:</t>
        </r>
        <r>
          <rPr>
            <sz val="9"/>
            <color indexed="81"/>
            <rFont val="Tahoma"/>
            <family val="2"/>
          </rPr>
          <t xml:space="preserve">
This field is special. Either enter the known value (typlically for liquids) or paste in the below equation:
pressure/(compressability-factor*(gas-constant/molecular-mass)*temp)
=(F38*6894.75729)/(F36*((8314.4621)/F43)*F45)
to calculate values: http://yeroc.us/calculators/gas-density.php</t>
        </r>
      </text>
    </comment>
    <comment ref="H27" authorId="0">
      <text>
        <r>
          <rPr>
            <b/>
            <sz val="9"/>
            <color indexed="81"/>
            <rFont val="Tahoma"/>
            <family val="2"/>
          </rPr>
          <t>Graham.Sortino:</t>
        </r>
        <r>
          <rPr>
            <sz val="9"/>
            <color indexed="81"/>
            <rFont val="Tahoma"/>
            <family val="2"/>
          </rPr>
          <t xml:space="preserve">
solved via 4-13 Huzel  p86. Does not include a correction factor for thermal deposits</t>
        </r>
      </text>
    </comment>
    <comment ref="E28" authorId="0">
      <text>
        <r>
          <rPr>
            <b/>
            <sz val="9"/>
            <color indexed="81"/>
            <rFont val="Tahoma"/>
            <family val="2"/>
          </rPr>
          <t>Graham.Sortino:</t>
        </r>
        <r>
          <rPr>
            <sz val="9"/>
            <color indexed="81"/>
            <rFont val="Tahoma"/>
            <family val="2"/>
          </rPr>
          <t xml:space="preserve">
This field is special. Either enter the known value (typlically for liquids) or paste in the below equation:
pressure/(compressability-factor*(gas-constant/molecular-mass)*temp)
=(F38*6894.75729)/(F36*((8314.4621)/F43)*F45)
to calculate values: http://yeroc.us/calculators/gas-density.php</t>
        </r>
      </text>
    </comment>
    <comment ref="H28" authorId="2">
      <text>
        <r>
          <rPr>
            <b/>
            <sz val="9"/>
            <color indexed="81"/>
            <rFont val="Tahoma"/>
            <family val="2"/>
          </rPr>
          <t>asd2323r:</t>
        </r>
        <r>
          <rPr>
            <sz val="9"/>
            <color indexed="81"/>
            <rFont val="Tahoma"/>
            <family val="2"/>
          </rPr>
          <t xml:space="preserve">
for some reason in the metric equicalent of this function the gravity constant is removed according to; http://www.propulsion-analysis.com/downloads/2/docs/RPA_ThermalAnalysis.pdf Bartz Method (p7)</t>
        </r>
      </text>
    </comment>
    <comment ref="L28" authorId="2">
      <text>
        <r>
          <rPr>
            <b/>
            <sz val="9"/>
            <color indexed="81"/>
            <rFont val="Tahoma"/>
            <family val="2"/>
          </rPr>
          <t>asd2323r:</t>
        </r>
        <r>
          <rPr>
            <sz val="9"/>
            <color indexed="81"/>
            <rFont val="Tahoma"/>
            <family val="2"/>
          </rPr>
          <t xml:space="preserve">
The converstion seems to be: *144*60*60*3.1525/1000 and the conversion between Btu/ft^2 h to W/m^2 = 3.1525</t>
        </r>
      </text>
    </comment>
    <comment ref="B29" authorId="0">
      <text>
        <r>
          <rPr>
            <b/>
            <sz val="9"/>
            <color indexed="81"/>
            <rFont val="Tahoma"/>
            <family val="2"/>
          </rPr>
          <t>Graham.Sortino:</t>
        </r>
        <r>
          <rPr>
            <sz val="9"/>
            <color indexed="81"/>
            <rFont val="Tahoma"/>
            <family val="2"/>
          </rPr>
          <t xml:space="preserve">
From Equation 3-30</t>
        </r>
      </text>
    </comment>
    <comment ref="H29" authorId="0">
      <text>
        <r>
          <rPr>
            <b/>
            <sz val="9"/>
            <color indexed="81"/>
            <rFont val="Tahoma"/>
            <family val="2"/>
          </rPr>
          <t>Graham.Sortino:</t>
        </r>
        <r>
          <rPr>
            <sz val="9"/>
            <color indexed="81"/>
            <rFont val="Tahoma"/>
            <family val="2"/>
          </rPr>
          <t xml:space="preserve">
Throat value Calculated from Formula 4-10-a (Huzel) p85.
Chamber and Exit Values taken from © Robert Watzlavick (rocket@watzlavick.com) Rocket Design Spreadsheet.
</t>
        </r>
      </text>
    </comment>
    <comment ref="B30" authorId="1">
      <text>
        <r>
          <rPr>
            <b/>
            <sz val="8"/>
            <color indexed="81"/>
            <rFont val="Tahoma"/>
            <family val="2"/>
          </rPr>
          <t>Graham:</t>
        </r>
        <r>
          <rPr>
            <sz val="8"/>
            <color indexed="81"/>
            <rFont val="Tahoma"/>
            <family val="2"/>
          </rPr>
          <t xml:space="preserve">
see table 3-2 (p75). This should be 4 to prevent losses.
Additional info in formula 8-8 (p286)</t>
        </r>
      </text>
    </comment>
    <comment ref="H30" authorId="0">
      <text>
        <r>
          <rPr>
            <b/>
            <sz val="9"/>
            <color indexed="81"/>
            <rFont val="Tahoma"/>
            <family val="2"/>
          </rPr>
          <t>Graham.Sortino:</t>
        </r>
        <r>
          <rPr>
            <sz val="9"/>
            <color indexed="81"/>
            <rFont val="Tahoma"/>
            <family val="2"/>
          </rPr>
          <t xml:space="preserve">
Throat value Calculated from Formula 4-10-a (Huzel) p85.
Chamber and Exit Values taken from © Robert Watzlavick (rocket@watzlavick.com) Rocket Design Spreadsheet.
</t>
        </r>
      </text>
    </comment>
    <comment ref="B31" authorId="0">
      <text>
        <r>
          <rPr>
            <b/>
            <sz val="8"/>
            <color indexed="81"/>
            <rFont val="Tahoma"/>
            <family val="2"/>
          </rPr>
          <t>Graham.Sortino:</t>
        </r>
        <r>
          <rPr>
            <sz val="8"/>
            <color indexed="81"/>
            <rFont val="Tahoma"/>
            <family val="2"/>
          </rPr>
          <t xml:space="preserve">
Calculated from Chamber Contraction Ration and Throat Area</t>
        </r>
      </text>
    </comment>
    <comment ref="H31" authorId="0">
      <text>
        <r>
          <rPr>
            <b/>
            <sz val="9"/>
            <color indexed="81"/>
            <rFont val="Tahoma"/>
            <family val="2"/>
          </rPr>
          <t>Graham.Sortino:</t>
        </r>
        <r>
          <rPr>
            <sz val="9"/>
            <color indexed="81"/>
            <rFont val="Tahoma"/>
            <family val="2"/>
          </rPr>
          <t xml:space="preserve">
equation 4-10 (Huzel) p85
</t>
        </r>
      </text>
    </comment>
    <comment ref="L32" authorId="2">
      <text>
        <r>
          <rPr>
            <b/>
            <sz val="9"/>
            <color indexed="81"/>
            <rFont val="Tahoma"/>
            <family val="2"/>
          </rPr>
          <t>asd2323r:</t>
        </r>
        <r>
          <rPr>
            <sz val="9"/>
            <color indexed="81"/>
            <rFont val="Tahoma"/>
            <family val="2"/>
          </rPr>
          <t xml:space="preserve">
I am very much un-clear on this conversion factor so be careful when using these SI values.</t>
        </r>
      </text>
    </comment>
    <comment ref="E33" authorId="0">
      <text>
        <r>
          <rPr>
            <b/>
            <sz val="8"/>
            <color indexed="81"/>
            <rFont val="Tahoma"/>
            <family val="2"/>
          </rPr>
          <t>Graham.Sortino:</t>
        </r>
        <r>
          <rPr>
            <sz val="8"/>
            <color indexed="81"/>
            <rFont val="Tahoma"/>
            <family val="2"/>
          </rPr>
          <t xml:space="preserve">
**ONLY FILL THIS OUT IF FUEL IS GASEOUS. OTHERWISE LEAVE BLANK** 
see page 184 (table 5-5) for a list of specific heats for various propellants.
N.B.  1.24 is typically used for O2/RP-1
Specific Heat Ratio k = Specific Heat at Constat Pressure / Specific Heat at Constant Volume
see equation (3-5a) page 50.</t>
        </r>
      </text>
    </comment>
    <comment ref="H33" authorId="0">
      <text>
        <r>
          <rPr>
            <b/>
            <sz val="9"/>
            <color indexed="81"/>
            <rFont val="Tahoma"/>
            <family val="2"/>
          </rPr>
          <t>Graham.Sortino:</t>
        </r>
        <r>
          <rPr>
            <sz val="9"/>
            <color indexed="81"/>
            <rFont val="Tahoma"/>
            <family val="2"/>
          </rPr>
          <t xml:space="preserve">
Reballancing right side of 4-19 (Huzel) p89 to solve for Twc</t>
        </r>
      </text>
    </comment>
    <comment ref="E34" authorId="0">
      <text>
        <r>
          <rPr>
            <b/>
            <sz val="8"/>
            <color indexed="81"/>
            <rFont val="Tahoma"/>
            <family val="2"/>
          </rPr>
          <t>Graham.Sortino:</t>
        </r>
        <r>
          <rPr>
            <sz val="8"/>
            <color indexed="81"/>
            <rFont val="Tahoma"/>
            <family val="2"/>
          </rPr>
          <t xml:space="preserve">
**ONLY FILL THIS OUT IF OXIDIZER IS GASEOUS. OTHERWISE LEAVE BLANK** 
see page 184 (table 5-5) for a list of specific heats for various propellants.
N.B.  1.24 is typically used for O2/RP-1
Specific Heat Ratio k = Specific Heat at Constat Pressure / Specific Heat at Constant Volume
see equation (3-5a) page 50.</t>
        </r>
      </text>
    </comment>
    <comment ref="B35" authorId="0">
      <text>
        <r>
          <rPr>
            <b/>
            <sz val="9"/>
            <color indexed="81"/>
            <rFont val="Tahoma"/>
            <family val="2"/>
          </rPr>
          <t>Graham.Sortino:</t>
        </r>
        <r>
          <rPr>
            <sz val="9"/>
            <color indexed="81"/>
            <rFont val="Tahoma"/>
            <family val="2"/>
          </rPr>
          <t xml:space="preserve">
this value is user defined (for now at least). It's not terribly important but it should be long enough to ensure full mixing of propellants. A longer chamber spreads heat more evenly across walls but also adds to weight.
See section 8.2 for more details (p285)</t>
        </r>
      </text>
    </comment>
    <comment ref="E35" authorId="0">
      <text>
        <r>
          <rPr>
            <b/>
            <sz val="9"/>
            <color indexed="81"/>
            <rFont val="Tahoma"/>
            <family val="2"/>
          </rPr>
          <t>Graham.Sortino:</t>
        </r>
        <r>
          <rPr>
            <sz val="9"/>
            <color indexed="81"/>
            <rFont val="Tahoma"/>
            <family val="2"/>
          </rPr>
          <t xml:space="preserve">
*ONLY FILL THIS OUT IF FUEL IS GASSEOUS. OTHERWISE LEAVE BLANK*
The compressibility factor (Z), also known as the compression factor, is a useful thermodynamic property for modifying the ideal gas law to account for the real gas behavior.
For empirical values for air see: http://en.wikipedia.org/wiki/Compressibility_factor#Compressibility_of_air
For a complex calculator see: http://www.ceb.cam.ac.uk/thermo/pure.html</t>
        </r>
      </text>
    </comment>
    <comment ref="E36" authorId="0">
      <text>
        <r>
          <rPr>
            <b/>
            <sz val="9"/>
            <color indexed="81"/>
            <rFont val="Tahoma"/>
            <family val="2"/>
          </rPr>
          <t>Graham.Sortino:</t>
        </r>
        <r>
          <rPr>
            <sz val="9"/>
            <color indexed="81"/>
            <rFont val="Tahoma"/>
            <family val="2"/>
          </rPr>
          <t xml:space="preserve">
*ONLY FILL THIS OUT IF OXIDIZER IS GASSEOUS. OTHERWISE LEAVE BLANK*
The compressibility factor (Z), also known as the compression factor, is a useful thermodynamic property for modifying the ideal gas law to account for the real gas behavior.
For empirical values for air see: http://en.wikipedia.org/wiki/Compressibility_factor#Compressibility_of_air
For a complex calculator see: http://www.ceb.cam.ac.uk/thermo/pure.html</t>
        </r>
      </text>
    </comment>
    <comment ref="B37" authorId="1">
      <text>
        <r>
          <rPr>
            <b/>
            <sz val="8"/>
            <color indexed="81"/>
            <rFont val="Tahoma"/>
            <family val="2"/>
          </rPr>
          <t>Graham:</t>
        </r>
        <r>
          <rPr>
            <sz val="8"/>
            <color indexed="81"/>
            <rFont val="Tahoma"/>
            <family val="2"/>
          </rPr>
          <t xml:space="preserve">
simmilar to the diverging angle this is used to calculate the conical fostrum length of the divergent section. I haven't found much data indicating this is an important parameter so I've left it the same as the divergent angle.
See top of p286 for a further discussion</t>
        </r>
      </text>
    </comment>
    <comment ref="H37" authorId="2">
      <text>
        <r>
          <rPr>
            <b/>
            <sz val="9"/>
            <color indexed="81"/>
            <rFont val="Tahoma"/>
            <family val="2"/>
          </rPr>
          <t>asd2323r:</t>
        </r>
        <r>
          <rPr>
            <sz val="9"/>
            <color indexed="81"/>
            <rFont val="Tahoma"/>
            <family val="2"/>
          </rPr>
          <t xml:space="preserve">
Matt aproximation taken from © Robert Watzlavick (rocket@watzlavick.com) computation spreadsheet.</t>
        </r>
      </text>
    </comment>
    <comment ref="B38" authorId="0">
      <text>
        <r>
          <rPr>
            <b/>
            <sz val="9"/>
            <color indexed="81"/>
            <rFont val="Tahoma"/>
            <family val="2"/>
          </rPr>
          <t>Graham.Sortino:</t>
        </r>
        <r>
          <rPr>
            <sz val="9"/>
            <color indexed="81"/>
            <rFont val="Tahoma"/>
            <family val="2"/>
          </rPr>
          <t xml:space="preserve">
equation 8-8 p286
</t>
        </r>
      </text>
    </comment>
    <comment ref="H39" authorId="0">
      <text>
        <r>
          <rPr>
            <b/>
            <sz val="9"/>
            <color indexed="81"/>
            <rFont val="Tahoma"/>
            <family val="2"/>
          </rPr>
          <t>Graham.Sortino:</t>
        </r>
        <r>
          <rPr>
            <sz val="9"/>
            <color indexed="81"/>
            <rFont val="Tahoma"/>
            <family val="2"/>
          </rPr>
          <t xml:space="preserve">
taken from sample calc 4-4 (b) Huzel p94. I still don't fully understand how this calculation derives it's result so I may need to play with it a bit more. Especially where does that .8 come from???
Obviously this number will need to be rounded to a whole number and it will depend significantly on the manufacturing process.</t>
        </r>
      </text>
    </comment>
    <comment ref="B40" authorId="0">
      <text>
        <r>
          <rPr>
            <b/>
            <sz val="9"/>
            <color indexed="81"/>
            <rFont val="Tahoma"/>
            <family val="2"/>
          </rPr>
          <t>Graham.Sortino:</t>
        </r>
        <r>
          <rPr>
            <sz val="9"/>
            <color indexed="81"/>
            <rFont val="Tahoma"/>
            <family val="2"/>
          </rPr>
          <t xml:space="preserve">
calculated from nozzle length and convergence half angle using basic trig: cos(alpha) = Adj / Hyp</t>
        </r>
      </text>
    </comment>
    <comment ref="H40" authorId="0">
      <text>
        <r>
          <rPr>
            <b/>
            <sz val="9"/>
            <color indexed="81"/>
            <rFont val="Tahoma"/>
            <family val="2"/>
          </rPr>
          <t>Graham.Sortino:</t>
        </r>
        <r>
          <rPr>
            <sz val="9"/>
            <color indexed="81"/>
            <rFont val="Tahoma"/>
            <family val="2"/>
          </rPr>
          <t xml:space="preserve">
selected based on temperature of coolent when entering coolent jacket for first pass. 520 R is aproximately 60 F.</t>
        </r>
      </text>
    </comment>
    <comment ref="H41" authorId="0">
      <text>
        <r>
          <rPr>
            <b/>
            <sz val="9"/>
            <color indexed="81"/>
            <rFont val="Tahoma"/>
            <family val="2"/>
          </rPr>
          <t>Graham.Sortino:</t>
        </r>
        <r>
          <rPr>
            <sz val="9"/>
            <color indexed="81"/>
            <rFont val="Tahoma"/>
            <family val="2"/>
          </rPr>
          <t xml:space="preserve">
Critical temperature is the value for at which a fluid cannot be turned from a gas to a liquid no matter how much pressure is applied. This value is looked up in a chemical/thermodynamics database.</t>
        </r>
      </text>
    </comment>
    <comment ref="B42" authorId="0">
      <text>
        <r>
          <rPr>
            <b/>
            <sz val="9"/>
            <color indexed="81"/>
            <rFont val="Tahoma"/>
            <family val="2"/>
          </rPr>
          <t>Graham.Sortino:</t>
        </r>
        <r>
          <rPr>
            <sz val="9"/>
            <color indexed="81"/>
            <rFont val="Tahoma"/>
            <family val="2"/>
          </rPr>
          <t xml:space="preserve">
equation 8-8 p286
defined as the volume from the injector up to the throat</t>
        </r>
      </text>
    </comment>
    <comment ref="H42" authorId="0">
      <text>
        <r>
          <rPr>
            <b/>
            <sz val="9"/>
            <color indexed="81"/>
            <rFont val="Tahoma"/>
            <family val="2"/>
          </rPr>
          <t>Graham.Sortino:</t>
        </r>
        <r>
          <rPr>
            <sz val="9"/>
            <color indexed="81"/>
            <rFont val="Tahoma"/>
            <family val="2"/>
          </rPr>
          <t xml:space="preserve">
experimental. Based on fluid properties. This assumes the fuel is the coolent but it could be changed if needed.</t>
        </r>
      </text>
    </comment>
    <comment ref="E43" authorId="2">
      <text>
        <r>
          <rPr>
            <b/>
            <sz val="9"/>
            <color indexed="81"/>
            <rFont val="Tahoma"/>
            <family val="2"/>
          </rPr>
          <t>asd2323r:</t>
        </r>
        <r>
          <rPr>
            <sz val="9"/>
            <color indexed="81"/>
            <rFont val="Tahoma"/>
            <family val="2"/>
          </rPr>
          <t xml:space="preserve">
this is the minimum value that choked flow will occur at. Above this value flow is non-choked.</t>
        </r>
      </text>
    </comment>
    <comment ref="H43" authorId="0">
      <text>
        <r>
          <rPr>
            <b/>
            <sz val="9"/>
            <color indexed="81"/>
            <rFont val="Tahoma"/>
            <family val="2"/>
          </rPr>
          <t>Graham.Sortino:</t>
        </r>
        <r>
          <rPr>
            <sz val="9"/>
            <color indexed="81"/>
            <rFont val="Tahoma"/>
            <family val="2"/>
          </rPr>
          <t xml:space="preserve">
constant C1 (different values for various propellants). I need to figure out what this is and where to get these values.</t>
        </r>
      </text>
    </comment>
    <comment ref="B44" authorId="0">
      <text>
        <r>
          <rPr>
            <b/>
            <sz val="9"/>
            <color indexed="81"/>
            <rFont val="Tahoma"/>
            <family val="2"/>
          </rPr>
          <t>Graham.Sortino:</t>
        </r>
        <r>
          <rPr>
            <sz val="9"/>
            <color indexed="81"/>
            <rFont val="Tahoma"/>
            <family val="2"/>
          </rPr>
          <t xml:space="preserve">
Characteristic Length (Pronounced cee-star). Equation 8-9 on p267. Typical values are between .8 and 3.0 for many bipropellants.</t>
        </r>
      </text>
    </comment>
    <comment ref="H44" authorId="0">
      <text>
        <r>
          <rPr>
            <b/>
            <sz val="9"/>
            <color indexed="81"/>
            <rFont val="Tahoma"/>
            <family val="2"/>
          </rPr>
          <t>Graham.Sortino:</t>
        </r>
        <r>
          <rPr>
            <sz val="9"/>
            <color indexed="81"/>
            <rFont val="Tahoma"/>
            <family val="2"/>
          </rPr>
          <t xml:space="preserve">
this needs experimental data. </t>
        </r>
      </text>
    </comment>
    <comment ref="B45" authorId="0">
      <text>
        <r>
          <rPr>
            <b/>
            <sz val="9"/>
            <color indexed="81"/>
            <rFont val="Tahoma"/>
            <family val="2"/>
          </rPr>
          <t>Graham.Sortino:</t>
        </r>
        <r>
          <rPr>
            <sz val="9"/>
            <color indexed="81"/>
            <rFont val="Tahoma"/>
            <family val="2"/>
          </rPr>
          <t xml:space="preserve">
it is loosely recommended not to choose a value below 20 inches for an igniter.</t>
        </r>
      </text>
    </comment>
    <comment ref="H45" authorId="0">
      <text>
        <r>
          <rPr>
            <b/>
            <sz val="9"/>
            <color indexed="81"/>
            <rFont val="Tahoma"/>
            <family val="2"/>
          </rPr>
          <t>Graham.Sortino:</t>
        </r>
        <r>
          <rPr>
            <sz val="9"/>
            <color indexed="81"/>
            <rFont val="Tahoma"/>
            <family val="2"/>
          </rPr>
          <t xml:space="preserve">
this needs experimental data. </t>
        </r>
      </text>
    </comment>
    <comment ref="B46" authorId="0">
      <text>
        <r>
          <rPr>
            <b/>
            <sz val="8"/>
            <color indexed="81"/>
            <rFont val="Tahoma"/>
            <family val="2"/>
          </rPr>
          <t>Graham.Sortino:</t>
        </r>
        <r>
          <rPr>
            <sz val="8"/>
            <color indexed="81"/>
            <rFont val="Tahoma"/>
            <family val="2"/>
          </rPr>
          <t xml:space="preserve">
This is equation 3-24 but solving for Throat Area instead of mass flow (see p63 for an example). In order to do this the mass flow rate must already be known, which is usually the case.
Nozzle Throat Area is an important property because once it is known along with the nozzle area ratio the actual dimensions of the nozzle may then be calculated.</t>
        </r>
      </text>
    </comment>
    <comment ref="B47" authorId="0">
      <text>
        <r>
          <rPr>
            <b/>
            <sz val="8"/>
            <color indexed="81"/>
            <rFont val="Tahoma"/>
            <family val="2"/>
          </rPr>
          <t>Graham.Sortino:</t>
        </r>
        <r>
          <rPr>
            <sz val="8"/>
            <color indexed="81"/>
            <rFont val="Tahoma"/>
            <family val="2"/>
          </rPr>
          <t xml:space="preserve">
This is equation 3-24 but solving for Throat Area instead of mass flow (see p63 for an example). In order to do this the mass flow rate must already be known, which is usually the case.
Nozzle Throat Area is an important property because once it is known along with the nozzle area ratio the actual dimensions of the nozzle may then be calculated.</t>
        </r>
      </text>
    </comment>
    <comment ref="E47" authorId="0">
      <text>
        <r>
          <rPr>
            <b/>
            <sz val="9"/>
            <color indexed="81"/>
            <rFont val="Tahoma"/>
            <family val="2"/>
          </rPr>
          <t>Graham.Sortino:</t>
        </r>
        <r>
          <rPr>
            <sz val="9"/>
            <color indexed="81"/>
            <rFont val="Tahoma"/>
            <family val="2"/>
          </rPr>
          <t xml:space="preserve">
This is a measure of the loss in flow efficiency due to an imperfect design. 1 would be perfect. Note it is possible to calculate this as a function of the reynolds number, however, for rough approximations, the flow coefficient may be assumed to be between 0.60 and 0.75. For a first approximation, a flow coefficient of 0.62 can be used as this approximates to fully developed flow.</t>
        </r>
      </text>
    </comment>
    <comment ref="E48" authorId="0">
      <text>
        <r>
          <rPr>
            <b/>
            <sz val="9"/>
            <color indexed="81"/>
            <rFont val="Tahoma"/>
            <family val="2"/>
          </rPr>
          <t>Graham.Sortino:</t>
        </r>
        <r>
          <rPr>
            <sz val="9"/>
            <color indexed="81"/>
            <rFont val="Tahoma"/>
            <family val="2"/>
          </rPr>
          <t xml:space="preserve">
This is a measure of the loss in flow efficiency due to an imperfect design. 1 would be perfect. Note it is possible to calculate this as a function of the reynolds number, however, for rough approximations, the flow coefficient may be assumed to be between 0.60 and 0.75. For a first approximation, a flow coefficient of 0.62 can be used as this approximates to fully developed flow.</t>
        </r>
      </text>
    </comment>
    <comment ref="E49" authorId="0">
      <text>
        <r>
          <rPr>
            <b/>
            <sz val="9"/>
            <color indexed="81"/>
            <rFont val="Tahoma"/>
            <family val="2"/>
          </rPr>
          <t>Graham.Sortino:</t>
        </r>
        <r>
          <rPr>
            <sz val="9"/>
            <color indexed="81"/>
            <rFont val="Tahoma"/>
            <family val="2"/>
          </rPr>
          <t xml:space="preserve">
*ONLY FILL THIS OUT IF FUEL IS GASSEOUS. OTHERWISE LEAVE BLANK*
</t>
        </r>
      </text>
    </comment>
    <comment ref="H49" authorId="0">
      <text>
        <r>
          <rPr>
            <b/>
            <sz val="9"/>
            <color indexed="81"/>
            <rFont val="Tahoma"/>
            <family val="2"/>
          </rPr>
          <t>Graham.Sortino:</t>
        </r>
        <r>
          <rPr>
            <sz val="9"/>
            <color indexed="81"/>
            <rFont val="Tahoma"/>
            <family val="2"/>
          </rPr>
          <t xml:space="preserve">
taken from Huzel 4-26 (p91).  The value of q should be comfortably below Qc inorder for the coolenet to successfully handle the heat flux.</t>
        </r>
      </text>
    </comment>
    <comment ref="S49" authorId="2">
      <text>
        <r>
          <rPr>
            <b/>
            <sz val="9"/>
            <color indexed="81"/>
            <rFont val="Tahoma"/>
            <family val="2"/>
          </rPr>
          <t>asd2323r:</t>
        </r>
        <r>
          <rPr>
            <sz val="9"/>
            <color indexed="81"/>
            <rFont val="Tahoma"/>
            <family val="2"/>
          </rPr>
          <t xml:space="preserve">
this is also very important. It is a balancing of equation (d) from H&amp;H p94</t>
        </r>
      </text>
    </comment>
    <comment ref="B50" authorId="0">
      <text>
        <r>
          <rPr>
            <b/>
            <sz val="9"/>
            <color indexed="81"/>
            <rFont val="Tahoma"/>
            <family val="2"/>
          </rPr>
          <t>Graham.Sortino:</t>
        </r>
        <r>
          <rPr>
            <sz val="9"/>
            <color indexed="81"/>
            <rFont val="Tahoma"/>
            <family val="2"/>
          </rPr>
          <t xml:space="preserve">
this is the length of the nozzle (ie between the convergent and divergent sections. I don't have a lot of data on this so I'm recomending for now to set it the same as Nozzle Radius</t>
        </r>
      </text>
    </comment>
    <comment ref="E50" authorId="0">
      <text>
        <r>
          <rPr>
            <b/>
            <sz val="9"/>
            <color indexed="81"/>
            <rFont val="Tahoma"/>
            <family val="2"/>
          </rPr>
          <t>Graham.Sortino:</t>
        </r>
        <r>
          <rPr>
            <sz val="9"/>
            <color indexed="81"/>
            <rFont val="Tahoma"/>
            <family val="2"/>
          </rPr>
          <t xml:space="preserve">
*ONLY FILL THIS OUT IF OXIDIZER IS GASSEOUS. OTHERWISE LEAVE BLANK*</t>
        </r>
      </text>
    </comment>
    <comment ref="H50" authorId="0">
      <text>
        <r>
          <rPr>
            <b/>
            <sz val="9"/>
            <color indexed="81"/>
            <rFont val="Tahoma"/>
            <family val="2"/>
          </rPr>
          <t>Graham.Sortino:</t>
        </r>
        <r>
          <rPr>
            <sz val="9"/>
            <color indexed="81"/>
            <rFont val="Tahoma"/>
            <family val="2"/>
          </rPr>
          <t xml:space="preserve">
taken from Huzel 4-26 (p91).  The value of q should be comfortably below Qc inorder for the coolenet to successfully handle the heat flux.</t>
        </r>
      </text>
    </comment>
    <comment ref="E51" authorId="0">
      <text>
        <r>
          <rPr>
            <b/>
            <sz val="9"/>
            <color indexed="81"/>
            <rFont val="Tahoma"/>
            <family val="2"/>
          </rPr>
          <t>Graham.Sortino:</t>
        </r>
        <r>
          <rPr>
            <sz val="9"/>
            <color indexed="81"/>
            <rFont val="Tahoma"/>
            <family val="2"/>
          </rPr>
          <t xml:space="preserve">
*ONLY FILL THIS OUT IF FUEL IS GASSEOUS. OTHERWISE LEAVE BLANK*
60 degrees farenheight (STP imperial units) is 288.705556 kelvin</t>
        </r>
      </text>
    </comment>
    <comment ref="H51" authorId="2">
      <text>
        <r>
          <rPr>
            <b/>
            <sz val="9"/>
            <color indexed="81"/>
            <rFont val="Tahoma"/>
            <family val="2"/>
          </rPr>
          <t>asd2323r:</t>
        </r>
        <r>
          <rPr>
            <sz val="9"/>
            <color indexed="81"/>
            <rFont val="Tahoma"/>
            <family val="2"/>
          </rPr>
          <t xml:space="preserve">
per tube</t>
        </r>
      </text>
    </comment>
    <comment ref="E52" authorId="0">
      <text>
        <r>
          <rPr>
            <b/>
            <sz val="9"/>
            <color indexed="81"/>
            <rFont val="Tahoma"/>
            <family val="2"/>
          </rPr>
          <t>Graham.Sortino:</t>
        </r>
        <r>
          <rPr>
            <sz val="9"/>
            <color indexed="81"/>
            <rFont val="Tahoma"/>
            <family val="2"/>
          </rPr>
          <t xml:space="preserve">
*ONLY FILL THIS OUT IF OXIDIZER IS GASSEOUS. OTHERWISE LEAVE BLANK*
60 degrees farenheight (STP imperial units) is 288.705556 kelvin</t>
        </r>
      </text>
    </comment>
    <comment ref="E53" authorId="2">
      <text>
        <r>
          <rPr>
            <b/>
            <sz val="9"/>
            <color indexed="81"/>
            <rFont val="Tahoma"/>
            <family val="2"/>
          </rPr>
          <t>asd2323r:</t>
        </r>
        <r>
          <rPr>
            <sz val="9"/>
            <color indexed="81"/>
            <rFont val="Tahoma"/>
            <family val="2"/>
          </rPr>
          <t xml:space="preserve">
3 different equations are used depending on the type of flow:
(1) incompressible
(2) compressible choked
(3) compressible non-choked</t>
        </r>
      </text>
    </comment>
    <comment ref="H53" authorId="2">
      <text>
        <r>
          <rPr>
            <b/>
            <sz val="9"/>
            <color indexed="81"/>
            <rFont val="Tahoma"/>
            <family val="2"/>
          </rPr>
          <t>asd2323r:</t>
        </r>
        <r>
          <rPr>
            <sz val="9"/>
            <color indexed="81"/>
            <rFont val="Tahoma"/>
            <family val="2"/>
          </rPr>
          <t xml:space="preserve">
I used to use this function from H&amp;H: =((F25*2.20462)*4)/(PI()*I23*I20^2*(I26/1728))/12
but I've since replaced it with a simple flow rate / area function</t>
        </r>
      </text>
    </comment>
    <comment ref="N53" authorId="2">
      <text>
        <r>
          <rPr>
            <b/>
            <sz val="9"/>
            <color indexed="81"/>
            <rFont val="Tahoma"/>
            <family val="2"/>
          </rPr>
          <t>asd2323r:</t>
        </r>
        <r>
          <rPr>
            <sz val="9"/>
            <color indexed="81"/>
            <rFont val="Tahoma"/>
            <family val="2"/>
          </rPr>
          <t xml:space="preserve">
this is the partial solution (d)  on p94 of H&amp;H. do Not delete.</t>
        </r>
      </text>
    </comment>
    <comment ref="H54" authorId="2">
      <text>
        <r>
          <rPr>
            <b/>
            <sz val="9"/>
            <color indexed="81"/>
            <rFont val="Tahoma"/>
            <family val="2"/>
          </rPr>
          <t>asd2323r:</t>
        </r>
        <r>
          <rPr>
            <sz val="9"/>
            <color indexed="81"/>
            <rFont val="Tahoma"/>
            <family val="2"/>
          </rPr>
          <t xml:space="preserve">
this is simply flow-rate/area</t>
        </r>
      </text>
    </comment>
    <comment ref="H55" authorId="0">
      <text>
        <r>
          <rPr>
            <b/>
            <sz val="9"/>
            <color indexed="81"/>
            <rFont val="Tahoma"/>
            <family val="2"/>
          </rPr>
          <t>Graham.Sortino:</t>
        </r>
        <r>
          <rPr>
            <sz val="9"/>
            <color indexed="81"/>
            <rFont val="Tahoma"/>
            <family val="2"/>
          </rPr>
          <t xml:space="preserve">
taken from Huzel 4-26 (p91).  The value of q should be comfortably below Qc inorder for the coolenet to successfully handle the heat flux.</t>
        </r>
      </text>
    </comment>
    <comment ref="B56" authorId="1">
      <text>
        <r>
          <rPr>
            <b/>
            <sz val="8"/>
            <color indexed="81"/>
            <rFont val="Tahoma"/>
            <family val="2"/>
          </rPr>
          <t>Graham:</t>
        </r>
        <r>
          <rPr>
            <sz val="8"/>
            <color indexed="81"/>
            <rFont val="Tahoma"/>
            <family val="2"/>
          </rPr>
          <t xml:space="preserve">
Used to calculate the effective percentage loss in Ideal Velocity due to drag forces. Typical Values are between 5 and 10%. 
See bottom of page 108 for more details.</t>
        </r>
      </text>
    </comment>
    <comment ref="B57" authorId="0">
      <text>
        <r>
          <rPr>
            <b/>
            <sz val="9"/>
            <color indexed="81"/>
            <rFont val="Tahoma"/>
            <family val="2"/>
          </rPr>
          <t>Graham.Sortino:</t>
        </r>
        <r>
          <rPr>
            <sz val="9"/>
            <color indexed="81"/>
            <rFont val="Tahoma"/>
            <family val="2"/>
          </rPr>
          <t xml:space="preserve">
Calculated from Fig 3-14 (p80)
Lcone = (r2 - rt) / tan(alpha)</t>
        </r>
      </text>
    </comment>
    <comment ref="E57" authorId="2">
      <text>
        <r>
          <rPr>
            <b/>
            <sz val="9"/>
            <color indexed="81"/>
            <rFont val="Tahoma"/>
            <family val="2"/>
          </rPr>
          <t>asd2323r:</t>
        </r>
        <r>
          <rPr>
            <sz val="9"/>
            <color indexed="81"/>
            <rFont val="Tahoma"/>
            <family val="2"/>
          </rPr>
          <t xml:space="preserve">
3 different equations are used depending on the type of flow:
(1) incompressible
(2) compressible choked
(3) compressible non-choked</t>
        </r>
      </text>
    </comment>
    <comment ref="H57" authorId="0">
      <text>
        <r>
          <rPr>
            <b/>
            <sz val="9"/>
            <color indexed="81"/>
            <rFont val="Tahoma"/>
            <family val="2"/>
          </rPr>
          <t>Graham.Sortino:</t>
        </r>
        <r>
          <rPr>
            <sz val="9"/>
            <color indexed="81"/>
            <rFont val="Tahoma"/>
            <family val="2"/>
          </rPr>
          <t xml:space="preserve">
Matt aproximation taken from © Robert Watzlavick (rocket@watzlavick.com) computation spreadsheet.</t>
        </r>
      </text>
    </comment>
    <comment ref="B59" authorId="0">
      <text>
        <r>
          <rPr>
            <b/>
            <sz val="9"/>
            <color indexed="81"/>
            <rFont val="Tahoma"/>
            <family val="2"/>
          </rPr>
          <t>Graham.Sortino:</t>
        </r>
        <r>
          <rPr>
            <sz val="9"/>
            <color indexed="81"/>
            <rFont val="Tahoma"/>
            <family val="2"/>
          </rPr>
          <t xml:space="preserve">
calculated from nozzle length and divergence half angle using basic trig: cos(alpha) = Adj / Hyp</t>
        </r>
      </text>
    </comment>
    <comment ref="B61" authorId="0">
      <text>
        <r>
          <rPr>
            <b/>
            <sz val="8"/>
            <color indexed="81"/>
            <rFont val="Tahoma"/>
            <family val="2"/>
          </rPr>
          <t>Graham.Sortino:</t>
        </r>
        <r>
          <rPr>
            <sz val="8"/>
            <color indexed="81"/>
            <rFont val="Tahoma"/>
            <family val="2"/>
          </rPr>
          <t xml:space="preserve">
currently this is just a user defined number but eventually we could get more sophisticated with materials and heat distribution, etc...</t>
        </r>
      </text>
    </comment>
    <comment ref="G94" authorId="0">
      <text>
        <r>
          <rPr>
            <b/>
            <sz val="8"/>
            <color indexed="81"/>
            <rFont val="Tahoma"/>
            <family val="2"/>
          </rPr>
          <t>Graham.Sortino:</t>
        </r>
        <r>
          <rPr>
            <sz val="8"/>
            <color indexed="81"/>
            <rFont val="Tahoma"/>
            <family val="2"/>
          </rPr>
          <t xml:space="preserve">
Calculated from (4-16)
c = v2 + (p2 - p3)*(A2/m)</t>
        </r>
      </text>
    </comment>
    <comment ref="H94" authorId="0">
      <text>
        <r>
          <rPr>
            <b/>
            <sz val="8"/>
            <color indexed="81"/>
            <rFont val="Tahoma"/>
            <family val="2"/>
          </rPr>
          <t>Graham.Sortino:</t>
        </r>
        <r>
          <rPr>
            <sz val="8"/>
            <color indexed="81"/>
            <rFont val="Tahoma"/>
            <family val="2"/>
          </rPr>
          <t xml:space="preserve">
Because Specific impulse is always calculated over a change in time of 1 we simply use:
Is = F / m</t>
        </r>
      </text>
    </comment>
    <comment ref="K94" authorId="0">
      <text>
        <r>
          <rPr>
            <b/>
            <sz val="8"/>
            <color indexed="81"/>
            <rFont val="Tahoma"/>
            <family val="2"/>
          </rPr>
          <t>Graham.Sortino:</t>
        </r>
        <r>
          <rPr>
            <sz val="8"/>
            <color indexed="81"/>
            <rFont val="Tahoma"/>
            <family val="2"/>
          </rPr>
          <t xml:space="preserve">
calculated from 4-16 (up = -ċ*ln(1-ξ) - ġtp - ((BCdA)/m0) + u0)</t>
        </r>
      </text>
    </comment>
    <comment ref="L94" authorId="0">
      <text>
        <r>
          <rPr>
            <b/>
            <sz val="8"/>
            <color indexed="81"/>
            <rFont val="Tahoma"/>
            <family val="2"/>
          </rPr>
          <t>Graham.Sortino:</t>
        </r>
        <r>
          <rPr>
            <sz val="8"/>
            <color indexed="81"/>
            <rFont val="Tahoma"/>
            <family val="2"/>
          </rPr>
          <t xml:space="preserve">
'X' Velocity represents the horizontal velocity of a rocket propulsion device. Gravity is not considered for 'X' Trajectories.
calculated from 4-16. See example 4-1 for calculating X Velocity.
 (up = -ċ*ln(1-ξ) - ġtp - ((BCdA)/m0) + u0)</t>
        </r>
      </text>
    </comment>
    <comment ref="M94" authorId="0">
      <text>
        <r>
          <rPr>
            <b/>
            <sz val="8"/>
            <color indexed="81"/>
            <rFont val="Tahoma"/>
            <family val="2"/>
          </rPr>
          <t>Graham.Sortino:</t>
        </r>
        <r>
          <rPr>
            <sz val="8"/>
            <color indexed="81"/>
            <rFont val="Tahoma"/>
            <family val="2"/>
          </rPr>
          <t xml:space="preserve">
The 'Y' Velocity Vector represents the verictal speed of the vehicle. Gravity is considered here.
calculated from 4-16. See example 4-1 for calculating Y Velocity.
 (up = -ċ*ln(1-ξ) - ġtp - ((BCdA)/m0) + u0)</t>
        </r>
      </text>
    </comment>
    <comment ref="Q94" authorId="0">
      <text>
        <r>
          <rPr>
            <b/>
            <sz val="8"/>
            <color indexed="81"/>
            <rFont val="Tahoma"/>
            <family val="2"/>
          </rPr>
          <t>Graham.Sortino:</t>
        </r>
        <r>
          <rPr>
            <sz val="8"/>
            <color indexed="81"/>
            <rFont val="Tahoma"/>
            <family val="2"/>
          </rPr>
          <t xml:space="preserve">
Forces of Gravity Acting Upon a Craft (4-12)
g =g0 (R0/(R0 + h))2</t>
        </r>
      </text>
    </comment>
  </commentList>
</comments>
</file>

<file path=xl/comments2.xml><?xml version="1.0" encoding="utf-8"?>
<comments xmlns="http://schemas.openxmlformats.org/spreadsheetml/2006/main">
  <authors>
    <author>asd2323r</author>
  </authors>
  <commentList>
    <comment ref="M5" authorId="0">
      <text>
        <r>
          <rPr>
            <b/>
            <sz val="9"/>
            <color indexed="81"/>
            <rFont val="Tahoma"/>
            <family val="2"/>
          </rPr>
          <t>asd2323r:</t>
        </r>
        <r>
          <rPr>
            <sz val="9"/>
            <color indexed="81"/>
            <rFont val="Tahoma"/>
            <family val="2"/>
          </rPr>
          <t xml:space="preserve">
due to a mistake I was forced to make a 7/16" -20 thread instead. A proper design should be a 1/2-20 thread. Note because of this I was also forced to change the thread on the igniter as well.</t>
        </r>
      </text>
    </comment>
    <comment ref="N28" authorId="0">
      <text>
        <r>
          <rPr>
            <b/>
            <sz val="9"/>
            <color indexed="81"/>
            <rFont val="Tahoma"/>
            <family val="2"/>
          </rPr>
          <t>asd2323r:</t>
        </r>
        <r>
          <rPr>
            <sz val="9"/>
            <color indexed="81"/>
            <rFont val="Tahoma"/>
            <family val="2"/>
          </rPr>
          <t xml:space="preserve">
actually I believe the product # is  9464K311 but we can review this in further detail later</t>
        </r>
      </text>
    </comment>
  </commentList>
</comments>
</file>

<file path=xl/sharedStrings.xml><?xml version="1.0" encoding="utf-8"?>
<sst xmlns="http://schemas.openxmlformats.org/spreadsheetml/2006/main" count="617" uniqueCount="412">
  <si>
    <t>Specific Impulse</t>
  </si>
  <si>
    <t>kg</t>
  </si>
  <si>
    <t>x</t>
  </si>
  <si>
    <r>
      <t>Propellant Mass Fraction (</t>
    </r>
    <r>
      <rPr>
        <i/>
        <sz val="10"/>
        <rFont val="Arial"/>
        <family val="2"/>
      </rPr>
      <t>ξ</t>
    </r>
    <r>
      <rPr>
        <sz val="10"/>
        <rFont val="Arial"/>
        <family val="2"/>
      </rPr>
      <t>) =</t>
    </r>
  </si>
  <si>
    <r>
      <t>Initial Velocity (</t>
    </r>
    <r>
      <rPr>
        <i/>
        <sz val="10"/>
        <rFont val="Arial"/>
        <family val="2"/>
      </rPr>
      <t>u</t>
    </r>
    <r>
      <rPr>
        <i/>
        <vertAlign val="subscript"/>
        <sz val="10"/>
        <rFont val="Arial"/>
        <family val="2"/>
      </rPr>
      <t>0</t>
    </r>
    <r>
      <rPr>
        <sz val="10"/>
        <rFont val="Arial"/>
        <family val="2"/>
      </rPr>
      <t>)</t>
    </r>
  </si>
  <si>
    <r>
      <t>Initial Height (</t>
    </r>
    <r>
      <rPr>
        <i/>
        <sz val="10"/>
        <rFont val="Arial"/>
        <family val="2"/>
      </rPr>
      <t>h</t>
    </r>
    <r>
      <rPr>
        <i/>
        <vertAlign val="subscript"/>
        <sz val="10"/>
        <rFont val="Arial"/>
        <family val="2"/>
      </rPr>
      <t>0</t>
    </r>
    <r>
      <rPr>
        <sz val="10"/>
        <rFont val="Arial"/>
        <family val="2"/>
      </rPr>
      <t>)</t>
    </r>
  </si>
  <si>
    <r>
      <t>Propellant Mass Fraction (</t>
    </r>
    <r>
      <rPr>
        <b/>
        <i/>
        <sz val="10"/>
        <rFont val="Arial"/>
        <family val="2"/>
      </rPr>
      <t>ξ</t>
    </r>
    <r>
      <rPr>
        <b/>
        <sz val="10"/>
        <rFont val="Arial"/>
        <family val="2"/>
      </rPr>
      <t>) =</t>
    </r>
  </si>
  <si>
    <t>Remaining Propellant Mass</t>
  </si>
  <si>
    <t>Remaining Vehicle Mass</t>
  </si>
  <si>
    <t>Time (Seconds)</t>
  </si>
  <si>
    <t>Characteristics of a Vehicle in Motion</t>
  </si>
  <si>
    <t>sec</t>
  </si>
  <si>
    <r>
      <t>gravity (m/sec</t>
    </r>
    <r>
      <rPr>
        <b/>
        <vertAlign val="superscript"/>
        <sz val="10"/>
        <rFont val="Arial"/>
        <family val="2"/>
      </rPr>
      <t>2</t>
    </r>
    <r>
      <rPr>
        <b/>
        <sz val="10"/>
        <rFont val="Arial"/>
        <family val="2"/>
      </rPr>
      <t>)</t>
    </r>
  </si>
  <si>
    <t>m/sec</t>
  </si>
  <si>
    <t>m</t>
  </si>
  <si>
    <t>kg/sec</t>
  </si>
  <si>
    <r>
      <t>Final Velocity at Cutoff (</t>
    </r>
    <r>
      <rPr>
        <b/>
        <i/>
        <sz val="10"/>
        <rFont val="Arial"/>
        <family val="2"/>
      </rPr>
      <t>m/sec)</t>
    </r>
    <r>
      <rPr>
        <b/>
        <sz val="10"/>
        <rFont val="Arial"/>
        <family val="2"/>
      </rPr>
      <t>=</t>
    </r>
  </si>
  <si>
    <t>Final Distance at Cutoff (km) =</t>
  </si>
  <si>
    <t>kelvin</t>
  </si>
  <si>
    <t>j/Kg-K</t>
  </si>
  <si>
    <r>
      <t>Nozzle Exit Pressure (</t>
    </r>
    <r>
      <rPr>
        <i/>
        <sz val="10"/>
        <rFont val="Arial"/>
        <family val="2"/>
      </rPr>
      <t>p</t>
    </r>
    <r>
      <rPr>
        <i/>
        <vertAlign val="subscript"/>
        <sz val="10"/>
        <rFont val="Arial"/>
        <family val="2"/>
      </rPr>
      <t>2</t>
    </r>
    <r>
      <rPr>
        <sz val="10"/>
        <rFont val="Arial"/>
        <family val="2"/>
      </rPr>
      <t>) =</t>
    </r>
  </si>
  <si>
    <r>
      <t>Nozzle Inlet/Chamber Pressure (</t>
    </r>
    <r>
      <rPr>
        <i/>
        <sz val="10"/>
        <rFont val="Arial"/>
        <family val="2"/>
      </rPr>
      <t>p</t>
    </r>
    <r>
      <rPr>
        <i/>
        <vertAlign val="subscript"/>
        <sz val="10"/>
        <rFont val="Arial"/>
        <family val="2"/>
      </rPr>
      <t>1</t>
    </r>
    <r>
      <rPr>
        <sz val="10"/>
        <rFont val="Arial"/>
        <family val="2"/>
      </rPr>
      <t>) =</t>
    </r>
  </si>
  <si>
    <t>Pascal (MPa)</t>
  </si>
  <si>
    <r>
      <t>Nozzle Throat Pressure (</t>
    </r>
    <r>
      <rPr>
        <i/>
        <sz val="10"/>
        <rFont val="Arial"/>
        <family val="2"/>
      </rPr>
      <t>p</t>
    </r>
    <r>
      <rPr>
        <i/>
        <vertAlign val="subscript"/>
        <sz val="10"/>
        <rFont val="Arial"/>
        <family val="2"/>
      </rPr>
      <t>t</t>
    </r>
    <r>
      <rPr>
        <sz val="10"/>
        <rFont val="Arial"/>
        <family val="2"/>
      </rPr>
      <t>)=</t>
    </r>
  </si>
  <si>
    <r>
      <t>Nozzle Area Ratio (</t>
    </r>
    <r>
      <rPr>
        <i/>
        <sz val="10"/>
        <rFont val="Arial"/>
        <family val="2"/>
      </rPr>
      <t>A</t>
    </r>
    <r>
      <rPr>
        <i/>
        <vertAlign val="subscript"/>
        <sz val="10"/>
        <rFont val="Arial"/>
        <family val="2"/>
      </rPr>
      <t>2</t>
    </r>
    <r>
      <rPr>
        <i/>
        <sz val="10"/>
        <rFont val="Arial"/>
        <family val="2"/>
      </rPr>
      <t>/A</t>
    </r>
    <r>
      <rPr>
        <i/>
        <vertAlign val="subscript"/>
        <sz val="10"/>
        <rFont val="Arial"/>
        <family val="2"/>
      </rPr>
      <t>t</t>
    </r>
    <r>
      <rPr>
        <sz val="10"/>
        <rFont val="Arial"/>
        <family val="2"/>
      </rPr>
      <t>) =</t>
    </r>
  </si>
  <si>
    <t>meters</t>
  </si>
  <si>
    <r>
      <t>Exhaust Velocity (</t>
    </r>
    <r>
      <rPr>
        <i/>
        <sz val="10"/>
        <rFont val="Arial"/>
        <family val="2"/>
      </rPr>
      <t>v</t>
    </r>
    <r>
      <rPr>
        <i/>
        <vertAlign val="subscript"/>
        <sz val="10"/>
        <rFont val="Arial"/>
        <family val="2"/>
      </rPr>
      <t>2</t>
    </r>
    <r>
      <rPr>
        <sz val="10"/>
        <rFont val="Arial"/>
        <family val="2"/>
      </rPr>
      <t>) =</t>
    </r>
  </si>
  <si>
    <r>
      <t>Pressure Ratio (</t>
    </r>
    <r>
      <rPr>
        <i/>
        <sz val="10"/>
        <rFont val="Arial"/>
        <family val="2"/>
      </rPr>
      <t>p</t>
    </r>
    <r>
      <rPr>
        <i/>
        <vertAlign val="subscript"/>
        <sz val="10"/>
        <rFont val="Arial"/>
        <family val="2"/>
      </rPr>
      <t>1</t>
    </r>
    <r>
      <rPr>
        <i/>
        <sz val="10"/>
        <rFont val="Arial"/>
        <family val="2"/>
      </rPr>
      <t>/p</t>
    </r>
    <r>
      <rPr>
        <i/>
        <vertAlign val="subscript"/>
        <sz val="10"/>
        <rFont val="Arial"/>
        <family val="2"/>
      </rPr>
      <t>2</t>
    </r>
    <r>
      <rPr>
        <sz val="10"/>
        <rFont val="Arial"/>
        <family val="2"/>
      </rPr>
      <t>) =</t>
    </r>
  </si>
  <si>
    <r>
      <t>Pressure Ratio (</t>
    </r>
    <r>
      <rPr>
        <i/>
        <sz val="10"/>
        <rFont val="Arial"/>
        <family val="2"/>
      </rPr>
      <t>p</t>
    </r>
    <r>
      <rPr>
        <i/>
        <vertAlign val="subscript"/>
        <sz val="10"/>
        <rFont val="Arial"/>
        <family val="2"/>
      </rPr>
      <t>2</t>
    </r>
    <r>
      <rPr>
        <i/>
        <sz val="10"/>
        <rFont val="Arial"/>
        <family val="2"/>
      </rPr>
      <t>/p</t>
    </r>
    <r>
      <rPr>
        <i/>
        <vertAlign val="subscript"/>
        <sz val="10"/>
        <rFont val="Arial"/>
        <family val="2"/>
      </rPr>
      <t>1</t>
    </r>
    <r>
      <rPr>
        <sz val="10"/>
        <rFont val="Arial"/>
        <family val="2"/>
      </rPr>
      <t>) =</t>
    </r>
  </si>
  <si>
    <t>Payload Mass =</t>
  </si>
  <si>
    <t>Propellent Mass =</t>
  </si>
  <si>
    <t>Inert hardware Mass</t>
  </si>
  <si>
    <t>Nozzle Throat Area =</t>
  </si>
  <si>
    <t>Nozzle Exit Area =</t>
  </si>
  <si>
    <t>Nozzle Length =</t>
  </si>
  <si>
    <t>Mixture Ratio (Oxidizer/Fuel) =</t>
  </si>
  <si>
    <t>G-Forces</t>
  </si>
  <si>
    <r>
      <t>Force Max (</t>
    </r>
    <r>
      <rPr>
        <i/>
        <sz val="10"/>
        <rFont val="Arial"/>
        <family val="2"/>
      </rPr>
      <t>F</t>
    </r>
    <r>
      <rPr>
        <i/>
        <vertAlign val="subscript"/>
        <sz val="10"/>
        <rFont val="Arial"/>
        <family val="2"/>
      </rPr>
      <t>max</t>
    </r>
    <r>
      <rPr>
        <sz val="10"/>
        <rFont val="Arial"/>
        <family val="2"/>
      </rPr>
      <t>) =</t>
    </r>
  </si>
  <si>
    <t>Max Acceleration =</t>
  </si>
  <si>
    <t>Max Burn Time</t>
  </si>
  <si>
    <t>Newtons</t>
  </si>
  <si>
    <r>
      <t>Initial Mass (</t>
    </r>
    <r>
      <rPr>
        <i/>
        <sz val="10"/>
        <rFont val="Arial"/>
        <family val="2"/>
      </rPr>
      <t>m</t>
    </r>
    <r>
      <rPr>
        <i/>
        <vertAlign val="subscript"/>
        <sz val="10"/>
        <rFont val="Arial"/>
        <family val="2"/>
      </rPr>
      <t>o</t>
    </r>
    <r>
      <rPr>
        <sz val="10"/>
        <rFont val="Arial"/>
        <family val="2"/>
      </rPr>
      <t>)</t>
    </r>
  </si>
  <si>
    <r>
      <t>Final Mass (</t>
    </r>
    <r>
      <rPr>
        <i/>
        <sz val="10"/>
        <rFont val="Arial"/>
        <family val="2"/>
      </rPr>
      <t>m</t>
    </r>
    <r>
      <rPr>
        <i/>
        <vertAlign val="subscript"/>
        <sz val="10"/>
        <rFont val="Arial"/>
        <family val="2"/>
      </rPr>
      <t>f</t>
    </r>
    <r>
      <rPr>
        <sz val="10"/>
        <rFont val="Arial"/>
        <family val="2"/>
      </rPr>
      <t>)</t>
    </r>
  </si>
  <si>
    <r>
      <t>Critical Pressure Ratio (</t>
    </r>
    <r>
      <rPr>
        <i/>
        <sz val="10"/>
        <rFont val="Arial"/>
        <family val="2"/>
      </rPr>
      <t>p</t>
    </r>
    <r>
      <rPr>
        <i/>
        <vertAlign val="subscript"/>
        <sz val="10"/>
        <rFont val="Arial"/>
        <family val="2"/>
      </rPr>
      <t>t</t>
    </r>
    <r>
      <rPr>
        <i/>
        <sz val="10"/>
        <rFont val="Arial"/>
        <family val="2"/>
      </rPr>
      <t>/p</t>
    </r>
    <r>
      <rPr>
        <i/>
        <vertAlign val="subscript"/>
        <sz val="10"/>
        <rFont val="Arial"/>
        <family val="2"/>
      </rPr>
      <t>1</t>
    </r>
    <r>
      <rPr>
        <sz val="10"/>
        <rFont val="Arial"/>
        <family val="2"/>
      </rPr>
      <t>) =</t>
    </r>
  </si>
  <si>
    <t>Nozzle Throat Diameter =</t>
  </si>
  <si>
    <t>Nozzle Exit Diameter =</t>
  </si>
  <si>
    <r>
      <t>Desired Velocity Increment (</t>
    </r>
    <r>
      <rPr>
        <i/>
        <sz val="10"/>
        <rFont val="Arial"/>
        <family val="2"/>
      </rPr>
      <t>v</t>
    </r>
    <r>
      <rPr>
        <i/>
        <vertAlign val="subscript"/>
        <sz val="10"/>
        <rFont val="Arial"/>
        <family val="2"/>
      </rPr>
      <t>f</t>
    </r>
    <r>
      <rPr>
        <sz val="10"/>
        <rFont val="Arial"/>
        <family val="2"/>
      </rPr>
      <t>)</t>
    </r>
  </si>
  <si>
    <r>
      <t>Mass Ratio (</t>
    </r>
    <r>
      <rPr>
        <b/>
        <sz val="10"/>
        <rFont val="Arial"/>
        <family val="2"/>
      </rPr>
      <t>MR</t>
    </r>
    <r>
      <rPr>
        <sz val="10"/>
        <rFont val="Arial"/>
        <family val="2"/>
      </rPr>
      <t>) =</t>
    </r>
  </si>
  <si>
    <t>Force</t>
  </si>
  <si>
    <r>
      <t>Effective Exhaust Velocity (</t>
    </r>
    <r>
      <rPr>
        <b/>
        <i/>
        <sz val="10"/>
        <rFont val="Arial"/>
        <family val="2"/>
      </rPr>
      <t>c</t>
    </r>
    <r>
      <rPr>
        <b/>
        <sz val="10"/>
        <rFont val="Arial"/>
        <family val="2"/>
      </rPr>
      <t>) m/sec</t>
    </r>
  </si>
  <si>
    <r>
      <t>External Pressure (</t>
    </r>
    <r>
      <rPr>
        <b/>
        <i/>
        <sz val="10"/>
        <rFont val="Arial"/>
        <family val="2"/>
      </rPr>
      <t>Mpa</t>
    </r>
    <r>
      <rPr>
        <b/>
        <sz val="10"/>
        <rFont val="Arial"/>
        <family val="2"/>
      </rPr>
      <t>)</t>
    </r>
  </si>
  <si>
    <r>
      <t>Average Specific Impulse (</t>
    </r>
    <r>
      <rPr>
        <b/>
        <i/>
        <sz val="10"/>
        <rFont val="Arial"/>
        <family val="2"/>
      </rPr>
      <t>I</t>
    </r>
    <r>
      <rPr>
        <b/>
        <i/>
        <vertAlign val="subscript"/>
        <sz val="10"/>
        <rFont val="Arial"/>
        <family val="2"/>
      </rPr>
      <t>s-avg</t>
    </r>
    <r>
      <rPr>
        <b/>
        <sz val="10"/>
        <rFont val="Arial"/>
        <family val="2"/>
      </rPr>
      <t>)=</t>
    </r>
  </si>
  <si>
    <r>
      <t>Total Impulse (</t>
    </r>
    <r>
      <rPr>
        <b/>
        <i/>
        <sz val="10"/>
        <rFont val="Arial"/>
        <family val="2"/>
      </rPr>
      <t>I</t>
    </r>
    <r>
      <rPr>
        <b/>
        <i/>
        <vertAlign val="subscript"/>
        <sz val="10"/>
        <rFont val="Arial"/>
        <family val="2"/>
      </rPr>
      <t>t</t>
    </r>
    <r>
      <rPr>
        <b/>
        <sz val="10"/>
        <rFont val="Arial"/>
        <family val="2"/>
      </rPr>
      <t>)=</t>
    </r>
  </si>
  <si>
    <t>Propellent Mass Budget Analysis for Change in Velocity Increment</t>
  </si>
  <si>
    <t>Velocity Increase (m/sec)</t>
  </si>
  <si>
    <t>Propellent Mass (kg)</t>
  </si>
  <si>
    <t>Change in Propellent Mass (kg)</t>
  </si>
  <si>
    <r>
      <t>1 / Mass Ratio (1/</t>
    </r>
    <r>
      <rPr>
        <b/>
        <sz val="10"/>
        <rFont val="Arial"/>
        <family val="2"/>
      </rPr>
      <t>MR</t>
    </r>
    <r>
      <rPr>
        <sz val="10"/>
        <rFont val="Arial"/>
        <family val="2"/>
      </rPr>
      <t>) =</t>
    </r>
  </si>
  <si>
    <t>Drag Loss Correction Factor</t>
  </si>
  <si>
    <t>b=</t>
  </si>
  <si>
    <t>angle (y)</t>
  </si>
  <si>
    <t>angle (initial)</t>
  </si>
  <si>
    <t>angle (final)</t>
  </si>
  <si>
    <t>angle (mid)</t>
  </si>
  <si>
    <t>quadratic</t>
  </si>
  <si>
    <t>initial angle (c)=</t>
  </si>
  <si>
    <t>angle (mid) =</t>
  </si>
  <si>
    <t xml:space="preserve">initial flight trajectory angle (c) </t>
  </si>
  <si>
    <t>degrees</t>
  </si>
  <si>
    <t>max flight angle</t>
  </si>
  <si>
    <t>(a)</t>
  </si>
  <si>
    <t>(b)</t>
  </si>
  <si>
    <r>
      <t>x acceleration (m/sec</t>
    </r>
    <r>
      <rPr>
        <b/>
        <vertAlign val="superscript"/>
        <sz val="10"/>
        <rFont val="Arial"/>
        <family val="2"/>
      </rPr>
      <t>2</t>
    </r>
    <r>
      <rPr>
        <b/>
        <sz val="10"/>
        <rFont val="Arial"/>
        <family val="2"/>
      </rPr>
      <t>)</t>
    </r>
  </si>
  <si>
    <t>x acceleration (gforces)</t>
  </si>
  <si>
    <r>
      <t>y acceleration (m/sec</t>
    </r>
    <r>
      <rPr>
        <b/>
        <vertAlign val="superscript"/>
        <sz val="10"/>
        <rFont val="Arial"/>
        <family val="2"/>
      </rPr>
      <t>2</t>
    </r>
    <r>
      <rPr>
        <b/>
        <sz val="10"/>
        <rFont val="Arial"/>
        <family val="2"/>
      </rPr>
      <t>)</t>
    </r>
  </si>
  <si>
    <t>y acceleration (gforces)</t>
  </si>
  <si>
    <t>Velocity Vector (m/sec)</t>
  </si>
  <si>
    <t>Flight Angle Vector</t>
  </si>
  <si>
    <t>X Velocity (m/sec)</t>
  </si>
  <si>
    <t>Y Velocity (m/sec)</t>
  </si>
  <si>
    <t>Distance Vector (m)</t>
  </si>
  <si>
    <t>X Distance (m)</t>
  </si>
  <si>
    <t>Y Distance (m)</t>
  </si>
  <si>
    <t xml:space="preserve"> </t>
  </si>
  <si>
    <t>inches</t>
  </si>
  <si>
    <r>
      <t>meters</t>
    </r>
    <r>
      <rPr>
        <vertAlign val="superscript"/>
        <sz val="10"/>
        <rFont val="Arial"/>
        <family val="2"/>
      </rPr>
      <t>2</t>
    </r>
  </si>
  <si>
    <r>
      <t>inches</t>
    </r>
    <r>
      <rPr>
        <vertAlign val="superscript"/>
        <sz val="10"/>
        <rFont val="Arial"/>
        <family val="2"/>
      </rPr>
      <t>2</t>
    </r>
  </si>
  <si>
    <r>
      <t xml:space="preserve">Nozzle Cone Diverence Half Angle </t>
    </r>
    <r>
      <rPr>
        <i/>
        <sz val="10"/>
        <rFont val="Arial"/>
        <family val="2"/>
      </rPr>
      <t>(α)</t>
    </r>
    <r>
      <rPr>
        <sz val="10"/>
        <rFont val="Arial"/>
        <family val="2"/>
      </rPr>
      <t xml:space="preserve"> =</t>
    </r>
  </si>
  <si>
    <t>y-top</t>
  </si>
  <si>
    <t>y-bottom</t>
  </si>
  <si>
    <t>Chamber Cross Sectional Area =</t>
  </si>
  <si>
    <t>Chamber Diameter =</t>
  </si>
  <si>
    <r>
      <t xml:space="preserve">Chamber Contraction Ratio  </t>
    </r>
    <r>
      <rPr>
        <i/>
        <sz val="10"/>
        <rFont val="Arial"/>
        <family val="2"/>
      </rPr>
      <t>(A</t>
    </r>
    <r>
      <rPr>
        <i/>
        <vertAlign val="subscript"/>
        <sz val="10"/>
        <rFont val="Arial"/>
        <family val="2"/>
      </rPr>
      <t>1</t>
    </r>
    <r>
      <rPr>
        <i/>
        <sz val="10"/>
        <rFont val="Arial"/>
        <family val="2"/>
      </rPr>
      <t>/A</t>
    </r>
    <r>
      <rPr>
        <i/>
        <vertAlign val="subscript"/>
        <sz val="10"/>
        <rFont val="Arial"/>
        <family val="2"/>
      </rPr>
      <t>t</t>
    </r>
    <r>
      <rPr>
        <i/>
        <sz val="10"/>
        <rFont val="Arial"/>
        <family val="2"/>
      </rPr>
      <t>) =</t>
    </r>
  </si>
  <si>
    <t>Chamber Length =</t>
  </si>
  <si>
    <r>
      <t>Conical Frustum Length (</t>
    </r>
    <r>
      <rPr>
        <i/>
        <sz val="10"/>
        <rFont val="Arial"/>
        <family val="2"/>
      </rPr>
      <t>L</t>
    </r>
    <r>
      <rPr>
        <i/>
        <vertAlign val="subscript"/>
        <sz val="10"/>
        <rFont val="Arial"/>
        <family val="2"/>
      </rPr>
      <t>c</t>
    </r>
    <r>
      <rPr>
        <sz val="10"/>
        <rFont val="Arial"/>
        <family val="2"/>
      </rPr>
      <t>) =</t>
    </r>
  </si>
  <si>
    <r>
      <t xml:space="preserve">Chamber Volume </t>
    </r>
    <r>
      <rPr>
        <i/>
        <sz val="10"/>
        <rFont val="Arial"/>
        <family val="2"/>
      </rPr>
      <t>(V</t>
    </r>
    <r>
      <rPr>
        <i/>
        <vertAlign val="subscript"/>
        <sz val="10"/>
        <rFont val="Arial"/>
        <family val="2"/>
      </rPr>
      <t>c</t>
    </r>
    <r>
      <rPr>
        <i/>
        <sz val="10"/>
        <rFont val="Arial"/>
        <family val="2"/>
      </rPr>
      <t>)</t>
    </r>
    <r>
      <rPr>
        <sz val="10"/>
        <rFont val="Arial"/>
        <family val="2"/>
      </rPr>
      <t>=</t>
    </r>
  </si>
  <si>
    <r>
      <t xml:space="preserve">Chamber Length </t>
    </r>
    <r>
      <rPr>
        <i/>
        <sz val="10"/>
        <rFont val="Arial"/>
        <family val="2"/>
      </rPr>
      <t>(L</t>
    </r>
    <r>
      <rPr>
        <i/>
        <vertAlign val="subscript"/>
        <sz val="10"/>
        <rFont val="Arial"/>
        <family val="2"/>
      </rPr>
      <t>1</t>
    </r>
    <r>
      <rPr>
        <i/>
        <sz val="10"/>
        <rFont val="Arial"/>
        <family val="2"/>
      </rPr>
      <t>)</t>
    </r>
    <r>
      <rPr>
        <sz val="10"/>
        <rFont val="Arial"/>
        <family val="2"/>
      </rPr>
      <t>=</t>
    </r>
  </si>
  <si>
    <r>
      <t>meters</t>
    </r>
    <r>
      <rPr>
        <vertAlign val="superscript"/>
        <sz val="10"/>
        <rFont val="Arial"/>
        <family val="2"/>
      </rPr>
      <t>3</t>
    </r>
  </si>
  <si>
    <r>
      <t>inches</t>
    </r>
    <r>
      <rPr>
        <vertAlign val="superscript"/>
        <sz val="10"/>
        <rFont val="Arial"/>
        <family val="2"/>
      </rPr>
      <t>3</t>
    </r>
  </si>
  <si>
    <r>
      <t xml:space="preserve">Convergence Length </t>
    </r>
    <r>
      <rPr>
        <sz val="10"/>
        <rFont val="Arial"/>
        <family val="2"/>
      </rPr>
      <t xml:space="preserve"> =</t>
    </r>
  </si>
  <si>
    <r>
      <t xml:space="preserve">Nozzle Frustm Length </t>
    </r>
    <r>
      <rPr>
        <i/>
        <sz val="10"/>
        <rFont val="Arial"/>
        <family val="2"/>
      </rPr>
      <t>(N</t>
    </r>
    <r>
      <rPr>
        <i/>
        <vertAlign val="subscript"/>
        <sz val="10"/>
        <rFont val="Arial"/>
        <family val="2"/>
      </rPr>
      <t>c</t>
    </r>
    <r>
      <rPr>
        <i/>
        <sz val="10"/>
        <rFont val="Arial"/>
        <family val="2"/>
      </rPr>
      <t>)</t>
    </r>
    <r>
      <rPr>
        <sz val="10"/>
        <rFont val="Arial"/>
        <family val="2"/>
      </rPr>
      <t xml:space="preserve"> =</t>
    </r>
  </si>
  <si>
    <t>Chamber Wall Thickness =</t>
  </si>
  <si>
    <r>
      <t xml:space="preserve">Chamber Characteristic Length </t>
    </r>
    <r>
      <rPr>
        <i/>
        <sz val="10"/>
        <rFont val="Arial"/>
        <family val="2"/>
      </rPr>
      <t>(L*)</t>
    </r>
    <r>
      <rPr>
        <sz val="10"/>
        <rFont val="Arial"/>
        <family val="2"/>
      </rPr>
      <t xml:space="preserve"> =</t>
    </r>
  </si>
  <si>
    <t>Nozzle Throat Length =</t>
  </si>
  <si>
    <t>y-top-outer</t>
  </si>
  <si>
    <t>Chamber &amp; Nozzle Measurements For Graph</t>
  </si>
  <si>
    <t>y-bottom-outer</t>
  </si>
  <si>
    <t>Convergence Length  =</t>
  </si>
  <si>
    <r>
      <t>m</t>
    </r>
    <r>
      <rPr>
        <vertAlign val="superscript"/>
        <sz val="10"/>
        <rFont val="Arial"/>
        <family val="2"/>
      </rPr>
      <t>3</t>
    </r>
    <r>
      <rPr>
        <sz val="10"/>
        <rFont val="Arial"/>
        <family val="2"/>
      </rPr>
      <t>/sec</t>
    </r>
  </si>
  <si>
    <r>
      <t>kg/m</t>
    </r>
    <r>
      <rPr>
        <vertAlign val="superscript"/>
        <sz val="10"/>
        <rFont val="Arial"/>
        <family val="2"/>
      </rPr>
      <t>3</t>
    </r>
  </si>
  <si>
    <r>
      <t xml:space="preserve">Nozzle Cone Convergence Half Angle </t>
    </r>
    <r>
      <rPr>
        <i/>
        <sz val="10"/>
        <rFont val="Arial"/>
        <family val="2"/>
      </rPr>
      <t>(α)</t>
    </r>
    <r>
      <rPr>
        <sz val="10"/>
        <rFont val="Arial"/>
        <family val="2"/>
      </rPr>
      <t xml:space="preserve"> =</t>
    </r>
  </si>
  <si>
    <t>gallons/min</t>
  </si>
  <si>
    <r>
      <t>Propellent Mass Flow Rate Oxidizer (</t>
    </r>
    <r>
      <rPr>
        <i/>
        <sz val="10"/>
        <rFont val="Arial"/>
        <family val="2"/>
      </rPr>
      <t>m</t>
    </r>
    <r>
      <rPr>
        <i/>
        <vertAlign val="subscript"/>
        <sz val="10"/>
        <rFont val="Arial"/>
        <family val="2"/>
      </rPr>
      <t>o</t>
    </r>
    <r>
      <rPr>
        <sz val="10"/>
        <rFont val="Arial"/>
        <family val="2"/>
      </rPr>
      <t>) =</t>
    </r>
  </si>
  <si>
    <r>
      <t>m</t>
    </r>
    <r>
      <rPr>
        <vertAlign val="superscript"/>
        <sz val="10"/>
        <rFont val="Arial"/>
        <family val="2"/>
      </rPr>
      <t>2</t>
    </r>
    <r>
      <rPr>
        <sz val="10"/>
        <rFont val="Arial"/>
        <family val="2"/>
      </rPr>
      <t/>
    </r>
  </si>
  <si>
    <r>
      <t>m</t>
    </r>
    <r>
      <rPr>
        <i/>
        <vertAlign val="superscript"/>
        <sz val="10"/>
        <rFont val="Arial"/>
        <family val="2"/>
      </rPr>
      <t>2</t>
    </r>
  </si>
  <si>
    <t>in</t>
  </si>
  <si>
    <t>dimensionless</t>
  </si>
  <si>
    <t>lbs (Pounds Force)</t>
  </si>
  <si>
    <r>
      <t xml:space="preserve">Fuel Change in Feed vs Chamber Pressure </t>
    </r>
    <r>
      <rPr>
        <i/>
        <sz val="10"/>
        <rFont val="Arial"/>
        <family val="2"/>
      </rPr>
      <t>(Δp</t>
    </r>
    <r>
      <rPr>
        <i/>
        <vertAlign val="subscript"/>
        <sz val="10"/>
        <rFont val="Arial"/>
        <family val="2"/>
      </rPr>
      <t>f</t>
    </r>
    <r>
      <rPr>
        <i/>
        <sz val="10"/>
        <rFont val="Arial"/>
        <family val="2"/>
      </rPr>
      <t>)</t>
    </r>
    <r>
      <rPr>
        <sz val="10"/>
        <rFont val="Arial"/>
        <family val="2"/>
      </rPr>
      <t xml:space="preserve"> =</t>
    </r>
  </si>
  <si>
    <r>
      <t>Oxidizer Change in Feed vs Chamber Pressure (</t>
    </r>
    <r>
      <rPr>
        <i/>
        <sz val="10"/>
        <rFont val="Arial"/>
        <family val="2"/>
      </rPr>
      <t>Δp</t>
    </r>
    <r>
      <rPr>
        <i/>
        <vertAlign val="subscript"/>
        <sz val="10"/>
        <rFont val="Arial"/>
        <family val="2"/>
      </rPr>
      <t>o</t>
    </r>
    <r>
      <rPr>
        <sz val="10"/>
        <rFont val="Arial"/>
        <family val="2"/>
      </rPr>
      <t>)=</t>
    </r>
  </si>
  <si>
    <r>
      <t>Propellent Mass Flow Rate (</t>
    </r>
    <r>
      <rPr>
        <i/>
        <sz val="10"/>
        <rFont val="Arial"/>
        <family val="2"/>
      </rPr>
      <t>m</t>
    </r>
    <r>
      <rPr>
        <sz val="10"/>
        <rFont val="Arial"/>
        <family val="2"/>
      </rPr>
      <t>) **Needed** =</t>
    </r>
  </si>
  <si>
    <r>
      <t xml:space="preserve">Thrust Coefficient </t>
    </r>
    <r>
      <rPr>
        <i/>
        <sz val="10"/>
        <rFont val="Arial"/>
        <family val="2"/>
      </rPr>
      <t>(C</t>
    </r>
    <r>
      <rPr>
        <i/>
        <vertAlign val="subscript"/>
        <sz val="10"/>
        <rFont val="Arial"/>
        <family val="2"/>
      </rPr>
      <t>F</t>
    </r>
    <r>
      <rPr>
        <i/>
        <sz val="10"/>
        <rFont val="Arial"/>
        <family val="2"/>
      </rPr>
      <t>)</t>
    </r>
    <r>
      <rPr>
        <sz val="10"/>
        <rFont val="Arial"/>
        <family val="2"/>
      </rPr>
      <t xml:space="preserve"> =</t>
    </r>
  </si>
  <si>
    <r>
      <t>Atomospheric Pressure  (</t>
    </r>
    <r>
      <rPr>
        <i/>
        <sz val="10"/>
        <rFont val="Arial"/>
        <family val="2"/>
      </rPr>
      <t>p</t>
    </r>
    <r>
      <rPr>
        <i/>
        <vertAlign val="subscript"/>
        <sz val="10"/>
        <rFont val="Arial"/>
        <family val="2"/>
      </rPr>
      <t>3</t>
    </r>
    <r>
      <rPr>
        <sz val="10"/>
        <rFont val="Arial"/>
        <family val="2"/>
      </rPr>
      <t>) =</t>
    </r>
  </si>
  <si>
    <r>
      <t xml:space="preserve">Atomospheric Pressure </t>
    </r>
    <r>
      <rPr>
        <i/>
        <sz val="10"/>
        <rFont val="Arial"/>
        <family val="2"/>
      </rPr>
      <t xml:space="preserve"> (p</t>
    </r>
    <r>
      <rPr>
        <i/>
        <vertAlign val="subscript"/>
        <sz val="10"/>
        <rFont val="Arial"/>
        <family val="2"/>
      </rPr>
      <t>3</t>
    </r>
    <r>
      <rPr>
        <i/>
        <sz val="10"/>
        <rFont val="Arial"/>
        <family val="2"/>
      </rPr>
      <t>)</t>
    </r>
    <r>
      <rPr>
        <sz val="10"/>
        <rFont val="Arial"/>
        <family val="2"/>
      </rPr>
      <t xml:space="preserve"> =</t>
    </r>
  </si>
  <si>
    <t>overall depth =</t>
  </si>
  <si>
    <r>
      <t>in</t>
    </r>
    <r>
      <rPr>
        <vertAlign val="superscript"/>
        <sz val="10"/>
        <rFont val="Arial"/>
        <family val="2"/>
      </rPr>
      <t>2</t>
    </r>
    <r>
      <rPr>
        <sz val="10"/>
        <rFont val="Arial"/>
        <family val="2"/>
      </rPr>
      <t/>
    </r>
  </si>
  <si>
    <r>
      <t>m</t>
    </r>
    <r>
      <rPr>
        <sz val="10"/>
        <rFont val="Arial"/>
        <family val="2"/>
      </rPr>
      <t/>
    </r>
  </si>
  <si>
    <r>
      <t>in</t>
    </r>
    <r>
      <rPr>
        <sz val="10"/>
        <rFont val="Arial"/>
        <family val="2"/>
      </rPr>
      <t/>
    </r>
  </si>
  <si>
    <t>mol</t>
  </si>
  <si>
    <r>
      <rPr>
        <i/>
        <u/>
        <sz val="10"/>
        <color indexed="12"/>
        <rFont val="Arial"/>
        <family val="2"/>
      </rPr>
      <t xml:space="preserve">**Gas Only** </t>
    </r>
    <r>
      <rPr>
        <u/>
        <sz val="10"/>
        <color indexed="12"/>
        <rFont val="Arial"/>
        <family val="2"/>
      </rPr>
      <t>Fuel Specific Heat Ratio (</t>
    </r>
    <r>
      <rPr>
        <i/>
        <u/>
        <sz val="10"/>
        <color indexed="12"/>
        <rFont val="Arial"/>
        <family val="2"/>
      </rPr>
      <t>k</t>
    </r>
    <r>
      <rPr>
        <u/>
        <sz val="10"/>
        <color indexed="12"/>
        <rFont val="Arial"/>
        <family val="2"/>
      </rPr>
      <t>)</t>
    </r>
  </si>
  <si>
    <r>
      <t>**Gas Only** Oxidizer Specific Heat Ratio (</t>
    </r>
    <r>
      <rPr>
        <i/>
        <u/>
        <sz val="10"/>
        <color indexed="12"/>
        <rFont val="Arial"/>
        <family val="2"/>
      </rPr>
      <t>k</t>
    </r>
    <r>
      <rPr>
        <u/>
        <sz val="10"/>
        <color indexed="12"/>
        <rFont val="Arial"/>
        <family val="2"/>
      </rPr>
      <t>)</t>
    </r>
  </si>
  <si>
    <r>
      <t xml:space="preserve">Fuel Feed Pressure </t>
    </r>
    <r>
      <rPr>
        <i/>
        <sz val="10"/>
        <rFont val="Arial"/>
        <family val="2"/>
      </rPr>
      <t>(p</t>
    </r>
    <r>
      <rPr>
        <i/>
        <vertAlign val="subscript"/>
        <sz val="10"/>
        <rFont val="Arial"/>
        <family val="2"/>
      </rPr>
      <t>f</t>
    </r>
    <r>
      <rPr>
        <i/>
        <sz val="10"/>
        <rFont val="Arial"/>
        <family val="2"/>
      </rPr>
      <t>)</t>
    </r>
    <r>
      <rPr>
        <sz val="10"/>
        <rFont val="Arial"/>
        <family val="2"/>
      </rPr>
      <t xml:space="preserve"> =</t>
    </r>
  </si>
  <si>
    <r>
      <t xml:space="preserve">Oxidizer Feed Pressure </t>
    </r>
    <r>
      <rPr>
        <i/>
        <sz val="10"/>
        <rFont val="Arial"/>
        <family val="2"/>
      </rPr>
      <t>(p</t>
    </r>
    <r>
      <rPr>
        <i/>
        <vertAlign val="subscript"/>
        <sz val="10"/>
        <rFont val="Arial"/>
        <family val="2"/>
      </rPr>
      <t>o</t>
    </r>
    <r>
      <rPr>
        <i/>
        <sz val="10"/>
        <rFont val="Arial"/>
        <family val="2"/>
      </rPr>
      <t>)</t>
    </r>
    <r>
      <rPr>
        <sz val="10"/>
        <rFont val="Arial"/>
        <family val="2"/>
      </rPr>
      <t xml:space="preserve"> =</t>
    </r>
  </si>
  <si>
    <r>
      <rPr>
        <i/>
        <sz val="10"/>
        <rFont val="Arial"/>
        <family val="2"/>
      </rPr>
      <t>**Gas Only**</t>
    </r>
    <r>
      <rPr>
        <sz val="10"/>
        <rFont val="Arial"/>
        <family val="2"/>
      </rPr>
      <t xml:space="preserve"> Fuel Molecular Mass </t>
    </r>
    <r>
      <rPr>
        <i/>
        <sz val="10"/>
        <rFont val="Arial"/>
        <family val="2"/>
      </rPr>
      <t>(M</t>
    </r>
    <r>
      <rPr>
        <i/>
        <vertAlign val="subscript"/>
        <sz val="10"/>
        <rFont val="Arial"/>
        <family val="2"/>
      </rPr>
      <t>f</t>
    </r>
    <r>
      <rPr>
        <i/>
        <sz val="10"/>
        <rFont val="Arial"/>
        <family val="2"/>
      </rPr>
      <t>)</t>
    </r>
    <r>
      <rPr>
        <sz val="10"/>
        <rFont val="Arial"/>
        <family val="2"/>
      </rPr>
      <t>=</t>
    </r>
  </si>
  <si>
    <r>
      <t>Fuel Orifice Area (</t>
    </r>
    <r>
      <rPr>
        <i/>
        <sz val="10"/>
        <rFont val="Arial"/>
        <family val="2"/>
      </rPr>
      <t>A</t>
    </r>
    <r>
      <rPr>
        <i/>
        <vertAlign val="subscript"/>
        <sz val="10"/>
        <rFont val="Arial"/>
        <family val="2"/>
      </rPr>
      <t>f</t>
    </r>
    <r>
      <rPr>
        <sz val="10"/>
        <rFont val="Arial"/>
        <family val="2"/>
      </rPr>
      <t xml:space="preserve">) = </t>
    </r>
  </si>
  <si>
    <r>
      <t xml:space="preserve">Fuel Orifice Diameter </t>
    </r>
    <r>
      <rPr>
        <sz val="10"/>
        <rFont val="Arial"/>
        <family val="2"/>
      </rPr>
      <t xml:space="preserve">= </t>
    </r>
  </si>
  <si>
    <r>
      <t>Oxidizer Orifice Area (</t>
    </r>
    <r>
      <rPr>
        <i/>
        <sz val="10"/>
        <rFont val="Arial"/>
        <family val="2"/>
      </rPr>
      <t>A</t>
    </r>
    <r>
      <rPr>
        <i/>
        <vertAlign val="subscript"/>
        <sz val="10"/>
        <rFont val="Arial"/>
        <family val="2"/>
      </rPr>
      <t>o</t>
    </r>
    <r>
      <rPr>
        <sz val="10"/>
        <rFont val="Arial"/>
        <family val="2"/>
      </rPr>
      <t xml:space="preserve">) = </t>
    </r>
  </si>
  <si>
    <t xml:space="preserve">Oxidizer Orifice Diameter = </t>
  </si>
  <si>
    <r>
      <rPr>
        <i/>
        <sz val="10"/>
        <rFont val="Arial"/>
        <family val="2"/>
      </rPr>
      <t xml:space="preserve">**Gas Only** </t>
    </r>
    <r>
      <rPr>
        <sz val="10"/>
        <rFont val="Arial"/>
        <family val="2"/>
      </rPr>
      <t xml:space="preserve">Oxidizer Molecular Mass </t>
    </r>
    <r>
      <rPr>
        <i/>
        <sz val="10"/>
        <rFont val="Arial"/>
        <family val="2"/>
      </rPr>
      <t>(M</t>
    </r>
    <r>
      <rPr>
        <i/>
        <vertAlign val="subscript"/>
        <sz val="10"/>
        <rFont val="Arial"/>
        <family val="2"/>
      </rPr>
      <t>o</t>
    </r>
    <r>
      <rPr>
        <i/>
        <sz val="10"/>
        <rFont val="Arial"/>
        <family val="2"/>
      </rPr>
      <t>)</t>
    </r>
    <r>
      <rPr>
        <sz val="10"/>
        <rFont val="Arial"/>
        <family val="2"/>
      </rPr>
      <t xml:space="preserve"> =</t>
    </r>
  </si>
  <si>
    <r>
      <rPr>
        <i/>
        <sz val="10"/>
        <rFont val="Arial"/>
        <family val="2"/>
      </rPr>
      <t>**Gas Only**</t>
    </r>
    <r>
      <rPr>
        <sz val="10"/>
        <rFont val="Arial"/>
        <family val="2"/>
      </rPr>
      <t xml:space="preserve"> Fuel Compressability Factor </t>
    </r>
    <r>
      <rPr>
        <i/>
        <sz val="10"/>
        <rFont val="Arial"/>
        <family val="2"/>
      </rPr>
      <t>(Z</t>
    </r>
    <r>
      <rPr>
        <i/>
        <vertAlign val="subscript"/>
        <sz val="10"/>
        <rFont val="Arial"/>
        <family val="2"/>
      </rPr>
      <t>f</t>
    </r>
    <r>
      <rPr>
        <i/>
        <sz val="10"/>
        <rFont val="Arial"/>
        <family val="2"/>
      </rPr>
      <t>)</t>
    </r>
    <r>
      <rPr>
        <sz val="10"/>
        <rFont val="Arial"/>
        <family val="2"/>
      </rPr>
      <t>=</t>
    </r>
  </si>
  <si>
    <r>
      <rPr>
        <i/>
        <sz val="10"/>
        <rFont val="Arial"/>
        <family val="2"/>
      </rPr>
      <t xml:space="preserve">**Gas Only** </t>
    </r>
    <r>
      <rPr>
        <sz val="10"/>
        <rFont val="Arial"/>
        <family val="2"/>
      </rPr>
      <t xml:space="preserve">OxidizerCompressability Factor </t>
    </r>
    <r>
      <rPr>
        <i/>
        <sz val="10"/>
        <rFont val="Arial"/>
        <family val="2"/>
      </rPr>
      <t>(Z</t>
    </r>
    <r>
      <rPr>
        <i/>
        <vertAlign val="subscript"/>
        <sz val="10"/>
        <rFont val="Arial"/>
        <family val="2"/>
      </rPr>
      <t>o</t>
    </r>
    <r>
      <rPr>
        <i/>
        <sz val="10"/>
        <rFont val="Arial"/>
        <family val="2"/>
      </rPr>
      <t>)</t>
    </r>
    <r>
      <rPr>
        <sz val="10"/>
        <rFont val="Arial"/>
        <family val="2"/>
      </rPr>
      <t xml:space="preserve"> =</t>
    </r>
  </si>
  <si>
    <r>
      <rPr>
        <i/>
        <sz val="10"/>
        <rFont val="Arial"/>
        <family val="2"/>
      </rPr>
      <t>**Gas Only**</t>
    </r>
    <r>
      <rPr>
        <sz val="10"/>
        <rFont val="Arial"/>
        <family val="2"/>
      </rPr>
      <t xml:space="preserve"> Fuel Temperature at Injection </t>
    </r>
    <r>
      <rPr>
        <i/>
        <sz val="10"/>
        <rFont val="Arial"/>
        <family val="2"/>
      </rPr>
      <t>(t</t>
    </r>
    <r>
      <rPr>
        <i/>
        <vertAlign val="subscript"/>
        <sz val="10"/>
        <rFont val="Arial"/>
        <family val="2"/>
      </rPr>
      <t>f</t>
    </r>
    <r>
      <rPr>
        <i/>
        <sz val="10"/>
        <rFont val="Arial"/>
        <family val="2"/>
      </rPr>
      <t>)</t>
    </r>
    <r>
      <rPr>
        <sz val="10"/>
        <rFont val="Arial"/>
        <family val="2"/>
      </rPr>
      <t xml:space="preserve"> =</t>
    </r>
  </si>
  <si>
    <r>
      <rPr>
        <i/>
        <sz val="10"/>
        <rFont val="Arial"/>
        <family val="2"/>
      </rPr>
      <t xml:space="preserve">**Gas Only** Oxidizer </t>
    </r>
    <r>
      <rPr>
        <sz val="10"/>
        <rFont val="Arial"/>
        <family val="2"/>
      </rPr>
      <t xml:space="preserve">Temperature at Injection </t>
    </r>
    <r>
      <rPr>
        <i/>
        <sz val="10"/>
        <rFont val="Arial"/>
        <family val="2"/>
      </rPr>
      <t>(t</t>
    </r>
    <r>
      <rPr>
        <i/>
        <vertAlign val="subscript"/>
        <sz val="10"/>
        <rFont val="Arial"/>
        <family val="2"/>
      </rPr>
      <t>o</t>
    </r>
    <r>
      <rPr>
        <i/>
        <sz val="10"/>
        <rFont val="Arial"/>
        <family val="2"/>
      </rPr>
      <t>)</t>
    </r>
    <r>
      <rPr>
        <sz val="10"/>
        <rFont val="Arial"/>
        <family val="2"/>
      </rPr>
      <t xml:space="preserve"> =</t>
    </r>
  </si>
  <si>
    <r>
      <t>Fuel Volumetric Flow Rate (</t>
    </r>
    <r>
      <rPr>
        <i/>
        <sz val="10"/>
        <rFont val="Arial"/>
        <family val="2"/>
      </rPr>
      <t>Q</t>
    </r>
    <r>
      <rPr>
        <i/>
        <vertAlign val="subscript"/>
        <sz val="10"/>
        <rFont val="Arial"/>
        <family val="2"/>
      </rPr>
      <t>f</t>
    </r>
    <r>
      <rPr>
        <sz val="10"/>
        <rFont val="Arial"/>
        <family val="2"/>
      </rPr>
      <t>) =</t>
    </r>
  </si>
  <si>
    <r>
      <rPr>
        <i/>
        <sz val="10"/>
        <rFont val="Arial"/>
        <family val="2"/>
      </rPr>
      <t>**SPECIAL - SEE COMMENT**</t>
    </r>
    <r>
      <rPr>
        <sz val="10"/>
        <rFont val="Arial"/>
        <family val="2"/>
      </rPr>
      <t xml:space="preserve"> Density Fuel </t>
    </r>
    <r>
      <rPr>
        <i/>
        <sz val="10"/>
        <rFont val="Arial"/>
        <family val="2"/>
      </rPr>
      <t>(ρ</t>
    </r>
    <r>
      <rPr>
        <i/>
        <vertAlign val="subscript"/>
        <sz val="10"/>
        <rFont val="Arial"/>
        <family val="2"/>
      </rPr>
      <t>f</t>
    </r>
    <r>
      <rPr>
        <i/>
        <sz val="10"/>
        <rFont val="Arial"/>
        <family val="2"/>
      </rPr>
      <t>)</t>
    </r>
    <r>
      <rPr>
        <sz val="10"/>
        <rFont val="Arial"/>
        <family val="2"/>
      </rPr>
      <t>=</t>
    </r>
  </si>
  <si>
    <r>
      <rPr>
        <i/>
        <sz val="10"/>
        <rFont val="Arial"/>
        <family val="2"/>
      </rPr>
      <t xml:space="preserve">**SPECIAL - SEE COMMENT** </t>
    </r>
    <r>
      <rPr>
        <sz val="10"/>
        <rFont val="Arial"/>
        <family val="2"/>
      </rPr>
      <t xml:space="preserve">Density Oxidizer </t>
    </r>
    <r>
      <rPr>
        <i/>
        <sz val="10"/>
        <rFont val="Arial"/>
        <family val="2"/>
      </rPr>
      <t>(ρ</t>
    </r>
    <r>
      <rPr>
        <i/>
        <vertAlign val="subscript"/>
        <sz val="10"/>
        <rFont val="Arial"/>
        <family val="2"/>
      </rPr>
      <t>o</t>
    </r>
    <r>
      <rPr>
        <i/>
        <sz val="10"/>
        <rFont val="Arial"/>
        <family val="2"/>
      </rPr>
      <t>)</t>
    </r>
    <r>
      <rPr>
        <sz val="10"/>
        <rFont val="Arial"/>
        <family val="2"/>
      </rPr>
      <t>=</t>
    </r>
  </si>
  <si>
    <t>mm</t>
  </si>
  <si>
    <r>
      <rPr>
        <vertAlign val="superscript"/>
        <sz val="10"/>
        <rFont val="Arial"/>
        <family val="2"/>
      </rPr>
      <t>o</t>
    </r>
    <r>
      <rPr>
        <sz val="10"/>
        <rFont val="Arial"/>
        <family val="2"/>
      </rPr>
      <t>R</t>
    </r>
  </si>
  <si>
    <r>
      <rPr>
        <i/>
        <vertAlign val="superscript"/>
        <sz val="10"/>
        <rFont val="Arial"/>
        <family val="2"/>
      </rPr>
      <t>o</t>
    </r>
    <r>
      <rPr>
        <i/>
        <sz val="10"/>
        <rFont val="Arial"/>
        <family val="2"/>
      </rPr>
      <t>R</t>
    </r>
  </si>
  <si>
    <r>
      <t>Btu/lb-</t>
    </r>
    <r>
      <rPr>
        <i/>
        <vertAlign val="superscript"/>
        <sz val="10"/>
        <rFont val="Arial"/>
        <family val="2"/>
      </rPr>
      <t>o</t>
    </r>
    <r>
      <rPr>
        <i/>
        <sz val="10"/>
        <rFont val="Arial"/>
        <family val="2"/>
      </rPr>
      <t>R</t>
    </r>
  </si>
  <si>
    <t>Chamber</t>
  </si>
  <si>
    <t>Throat</t>
  </si>
  <si>
    <t>Exit</t>
  </si>
  <si>
    <r>
      <t>Btu/in</t>
    </r>
    <r>
      <rPr>
        <vertAlign val="superscript"/>
        <sz val="10"/>
        <rFont val="Arial"/>
        <family val="2"/>
      </rPr>
      <t>2</t>
    </r>
    <r>
      <rPr>
        <sz val="10"/>
        <rFont val="Arial"/>
        <family val="2"/>
      </rPr>
      <t>-s-</t>
    </r>
    <r>
      <rPr>
        <vertAlign val="superscript"/>
        <sz val="10"/>
        <rFont val="Arial"/>
        <family val="2"/>
      </rPr>
      <t>o</t>
    </r>
    <r>
      <rPr>
        <sz val="10"/>
        <rFont val="Arial"/>
        <family val="2"/>
      </rPr>
      <t>R</t>
    </r>
  </si>
  <si>
    <r>
      <t>Btu/in</t>
    </r>
    <r>
      <rPr>
        <vertAlign val="superscript"/>
        <sz val="10"/>
        <rFont val="Arial"/>
        <family val="2"/>
      </rPr>
      <t>2</t>
    </r>
    <r>
      <rPr>
        <sz val="10"/>
        <rFont val="Arial"/>
        <family val="2"/>
      </rPr>
      <t>-</t>
    </r>
    <r>
      <rPr>
        <vertAlign val="superscript"/>
        <sz val="10"/>
        <rFont val="Arial"/>
        <family val="2"/>
      </rPr>
      <t>o</t>
    </r>
    <r>
      <rPr>
        <sz val="10"/>
        <rFont val="Arial"/>
        <family val="2"/>
      </rPr>
      <t>F/in</t>
    </r>
  </si>
  <si>
    <t>Btu/s</t>
  </si>
  <si>
    <r>
      <t>Coolent Velocity (V</t>
    </r>
    <r>
      <rPr>
        <i/>
        <vertAlign val="subscript"/>
        <sz val="10"/>
        <rFont val="Arial"/>
        <family val="2"/>
      </rPr>
      <t>co</t>
    </r>
    <r>
      <rPr>
        <i/>
        <sz val="10"/>
        <rFont val="Arial"/>
        <family val="2"/>
      </rPr>
      <t>) =</t>
    </r>
  </si>
  <si>
    <r>
      <t>lb/ft</t>
    </r>
    <r>
      <rPr>
        <i/>
        <vertAlign val="superscript"/>
        <sz val="10"/>
        <rFont val="Arial"/>
        <family val="2"/>
      </rPr>
      <t>3</t>
    </r>
  </si>
  <si>
    <t>ft/sec</t>
  </si>
  <si>
    <t>Constant (C1)=</t>
  </si>
  <si>
    <t>lb/in-s</t>
  </si>
  <si>
    <r>
      <t>Btu/lb-</t>
    </r>
    <r>
      <rPr>
        <i/>
        <vertAlign val="superscript"/>
        <sz val="10"/>
        <rFont val="Arial"/>
        <family val="2"/>
      </rPr>
      <t>o</t>
    </r>
    <r>
      <rPr>
        <i/>
        <sz val="10"/>
        <rFont val="Arial"/>
        <family val="2"/>
      </rPr>
      <t>F</t>
    </r>
  </si>
  <si>
    <r>
      <t>Btu/in</t>
    </r>
    <r>
      <rPr>
        <i/>
        <vertAlign val="superscript"/>
        <sz val="10"/>
        <rFont val="Arial"/>
        <family val="2"/>
      </rPr>
      <t>2</t>
    </r>
    <r>
      <rPr>
        <i/>
        <sz val="10"/>
        <rFont val="Arial"/>
        <family val="2"/>
      </rPr>
      <t>-</t>
    </r>
    <r>
      <rPr>
        <i/>
        <vertAlign val="superscript"/>
        <sz val="10"/>
        <rFont val="Arial"/>
        <family val="2"/>
      </rPr>
      <t>o</t>
    </r>
    <r>
      <rPr>
        <i/>
        <sz val="10"/>
        <rFont val="Arial"/>
        <family val="2"/>
      </rPr>
      <t>F/in</t>
    </r>
  </si>
  <si>
    <r>
      <t xml:space="preserve">Corrected Chamber Temp </t>
    </r>
    <r>
      <rPr>
        <i/>
        <sz val="10"/>
        <rFont val="Arial"/>
        <family val="2"/>
      </rPr>
      <t>(T</t>
    </r>
    <r>
      <rPr>
        <i/>
        <vertAlign val="subscript"/>
        <sz val="10"/>
        <rFont val="Arial"/>
        <family val="2"/>
      </rPr>
      <t>1</t>
    </r>
    <r>
      <rPr>
        <i/>
        <sz val="10"/>
        <rFont val="Arial"/>
        <family val="2"/>
      </rPr>
      <t>)</t>
    </r>
    <r>
      <rPr>
        <sz val="10"/>
        <rFont val="Arial"/>
        <family val="2"/>
      </rPr>
      <t xml:space="preserve"> =</t>
    </r>
  </si>
  <si>
    <r>
      <t xml:space="preserve">c* Correction Factor for Chamber Temp </t>
    </r>
    <r>
      <rPr>
        <i/>
        <sz val="10"/>
        <rFont val="Arial"/>
        <family val="2"/>
      </rPr>
      <t>(n</t>
    </r>
    <r>
      <rPr>
        <i/>
        <vertAlign val="subscript"/>
        <sz val="10"/>
        <rFont val="Arial"/>
        <family val="2"/>
      </rPr>
      <t>t</t>
    </r>
    <r>
      <rPr>
        <i/>
        <sz val="10"/>
        <rFont val="Arial"/>
        <family val="2"/>
      </rPr>
      <t>)</t>
    </r>
    <r>
      <rPr>
        <sz val="10"/>
        <rFont val="Arial"/>
        <family val="2"/>
      </rPr>
      <t>=</t>
    </r>
  </si>
  <si>
    <r>
      <rPr>
        <sz val="10"/>
        <rFont val="Arial"/>
        <family val="2"/>
      </rPr>
      <t xml:space="preserve">Prandtl Number </t>
    </r>
    <r>
      <rPr>
        <i/>
        <sz val="10"/>
        <rFont val="Arial"/>
        <family val="2"/>
      </rPr>
      <t>(Pr) =</t>
    </r>
  </si>
  <si>
    <r>
      <t>µC</t>
    </r>
    <r>
      <rPr>
        <i/>
        <vertAlign val="subscript"/>
        <sz val="10"/>
        <rFont val="Arial"/>
        <family val="2"/>
      </rPr>
      <t>p</t>
    </r>
    <r>
      <rPr>
        <i/>
        <sz val="10"/>
        <rFont val="Arial"/>
        <family val="2"/>
      </rPr>
      <t>/k</t>
    </r>
    <r>
      <rPr>
        <i/>
        <vertAlign val="subscript"/>
        <sz val="10"/>
        <rFont val="Arial"/>
        <family val="2"/>
      </rPr>
      <t>t</t>
    </r>
  </si>
  <si>
    <t>lb/in-sec</t>
  </si>
  <si>
    <r>
      <t xml:space="preserve">Local Mach Number </t>
    </r>
    <r>
      <rPr>
        <i/>
        <sz val="10"/>
        <rFont val="Arial"/>
        <family val="2"/>
      </rPr>
      <t>(M)</t>
    </r>
    <r>
      <rPr>
        <sz val="10"/>
        <rFont val="Arial"/>
        <family val="2"/>
      </rPr>
      <t xml:space="preserve"> =</t>
    </r>
  </si>
  <si>
    <r>
      <t>Gas Side Heat Transfer Coefficient (h</t>
    </r>
    <r>
      <rPr>
        <i/>
        <vertAlign val="subscript"/>
        <sz val="10"/>
        <rFont val="Arial"/>
        <family val="2"/>
      </rPr>
      <t>g</t>
    </r>
    <r>
      <rPr>
        <i/>
        <sz val="10"/>
        <rFont val="Arial"/>
        <family val="2"/>
      </rPr>
      <t>) =</t>
    </r>
  </si>
  <si>
    <r>
      <rPr>
        <sz val="10"/>
        <rFont val="Arial"/>
        <family val="2"/>
      </rPr>
      <t xml:space="preserve">Correction Factor for  property variations across the boundary layer </t>
    </r>
    <r>
      <rPr>
        <i/>
        <sz val="10"/>
        <rFont val="Arial"/>
        <family val="2"/>
      </rPr>
      <t>(σ)=</t>
    </r>
  </si>
  <si>
    <r>
      <rPr>
        <sz val="10"/>
        <rFont val="Arial"/>
        <family val="2"/>
      </rPr>
      <t>Adiabatic Wall Temperature of the gas</t>
    </r>
    <r>
      <rPr>
        <i/>
        <sz val="10"/>
        <rFont val="Arial"/>
        <family val="2"/>
      </rPr>
      <t xml:space="preserve"> (T</t>
    </r>
    <r>
      <rPr>
        <i/>
        <vertAlign val="subscript"/>
        <sz val="10"/>
        <rFont val="Arial"/>
        <family val="2"/>
      </rPr>
      <t>aw</t>
    </r>
    <r>
      <rPr>
        <i/>
        <sz val="10"/>
        <rFont val="Arial"/>
        <family val="2"/>
      </rPr>
      <t>) =</t>
    </r>
  </si>
  <si>
    <r>
      <rPr>
        <sz val="10"/>
        <rFont val="Arial"/>
        <family val="2"/>
      </rPr>
      <t>*Estimated* Effective Recovery Factor</t>
    </r>
    <r>
      <rPr>
        <i/>
        <sz val="10"/>
        <rFont val="Arial"/>
        <family val="2"/>
      </rPr>
      <t xml:space="preserve"> (R) =</t>
    </r>
  </si>
  <si>
    <r>
      <rPr>
        <sz val="10"/>
        <rFont val="Arial"/>
        <family val="2"/>
      </rPr>
      <t>Allowable Hot-gas-side local chamber wall temp</t>
    </r>
    <r>
      <rPr>
        <i/>
        <sz val="10"/>
        <rFont val="Arial"/>
        <family val="2"/>
      </rPr>
      <t xml:space="preserve"> (T</t>
    </r>
    <r>
      <rPr>
        <i/>
        <vertAlign val="subscript"/>
        <sz val="10"/>
        <rFont val="Arial"/>
        <family val="2"/>
      </rPr>
      <t>wg</t>
    </r>
    <r>
      <rPr>
        <i/>
        <sz val="10"/>
        <rFont val="Arial"/>
        <family val="2"/>
      </rPr>
      <t>) =</t>
    </r>
  </si>
  <si>
    <r>
      <rPr>
        <sz val="10"/>
        <rFont val="Arial"/>
        <family val="2"/>
      </rPr>
      <t xml:space="preserve">Thermal Conductivity of Wall Material </t>
    </r>
    <r>
      <rPr>
        <i/>
        <sz val="10"/>
        <rFont val="Arial"/>
        <family val="2"/>
      </rPr>
      <t>(k) =</t>
    </r>
  </si>
  <si>
    <r>
      <rPr>
        <sz val="10"/>
        <rFont val="Arial"/>
        <family val="2"/>
      </rPr>
      <t>Number of Tubes</t>
    </r>
    <r>
      <rPr>
        <i/>
        <sz val="10"/>
        <rFont val="Arial"/>
        <family val="2"/>
      </rPr>
      <t xml:space="preserve"> (N) =</t>
    </r>
  </si>
  <si>
    <r>
      <rPr>
        <sz val="10"/>
        <rFont val="Arial"/>
        <family val="2"/>
      </rPr>
      <t>Max Coolent Capacticy</t>
    </r>
    <r>
      <rPr>
        <i/>
        <sz val="10"/>
        <rFont val="Arial"/>
        <family val="2"/>
      </rPr>
      <t xml:space="preserve"> (Qmax) =</t>
    </r>
  </si>
  <si>
    <r>
      <rPr>
        <sz val="10"/>
        <rFont val="Arial"/>
        <family val="2"/>
      </rPr>
      <t>Acutal Heat Transferred to the Coolent Capacticy</t>
    </r>
    <r>
      <rPr>
        <i/>
        <sz val="10"/>
        <rFont val="Arial"/>
        <family val="2"/>
      </rPr>
      <t xml:space="preserve"> (Q</t>
    </r>
    <r>
      <rPr>
        <i/>
        <vertAlign val="subscript"/>
        <sz val="10"/>
        <rFont val="Arial"/>
        <family val="2"/>
      </rPr>
      <t>actual</t>
    </r>
    <r>
      <rPr>
        <i/>
        <sz val="10"/>
        <rFont val="Arial"/>
        <family val="2"/>
      </rPr>
      <t>) =</t>
    </r>
  </si>
  <si>
    <r>
      <t>Bulk Temperature increase of Coolent after passing through the cooling jacket (T</t>
    </r>
    <r>
      <rPr>
        <vertAlign val="subscript"/>
        <sz val="10"/>
        <rFont val="Arial"/>
        <family val="2"/>
      </rPr>
      <t>increase</t>
    </r>
    <r>
      <rPr>
        <sz val="10"/>
        <rFont val="Arial"/>
        <family val="2"/>
      </rPr>
      <t>) =</t>
    </r>
  </si>
  <si>
    <t>*Actual* Characteristic Velocity (c*) =</t>
  </si>
  <si>
    <t>C*-Efficiency =</t>
  </si>
  <si>
    <r>
      <rPr>
        <sz val="10"/>
        <rFont val="Arial"/>
        <family val="2"/>
      </rPr>
      <t xml:space="preserve">Coolent Wall Temp </t>
    </r>
    <r>
      <rPr>
        <i/>
        <sz val="10"/>
        <rFont val="Arial"/>
        <family val="2"/>
      </rPr>
      <t>(T</t>
    </r>
    <r>
      <rPr>
        <i/>
        <vertAlign val="subscript"/>
        <sz val="10"/>
        <rFont val="Arial"/>
        <family val="2"/>
      </rPr>
      <t>wc</t>
    </r>
    <r>
      <rPr>
        <i/>
        <sz val="10"/>
        <rFont val="Arial"/>
        <family val="2"/>
      </rPr>
      <t>) =</t>
    </r>
  </si>
  <si>
    <r>
      <t>Gas Constant (</t>
    </r>
    <r>
      <rPr>
        <i/>
        <sz val="10"/>
        <rFont val="Arial"/>
        <family val="2"/>
      </rPr>
      <t>R</t>
    </r>
    <r>
      <rPr>
        <sz val="10"/>
        <rFont val="Arial"/>
        <family val="2"/>
      </rPr>
      <t xml:space="preserve">) </t>
    </r>
    <r>
      <rPr>
        <sz val="10"/>
        <rFont val="Arial"/>
        <family val="2"/>
      </rPr>
      <t>=</t>
    </r>
  </si>
  <si>
    <r>
      <rPr>
        <sz val="10"/>
        <rFont val="Arial"/>
        <family val="2"/>
      </rPr>
      <t xml:space="preserve">Coolent tubes distance (thickness) from chamber wall </t>
    </r>
    <r>
      <rPr>
        <i/>
        <sz val="10"/>
        <rFont val="Arial"/>
        <family val="2"/>
      </rPr>
      <t>(t) =</t>
    </r>
  </si>
  <si>
    <t>Molecular Mass of Propellant Mixture (M) =</t>
  </si>
  <si>
    <r>
      <rPr>
        <sz val="10"/>
        <rFont val="Arial"/>
        <family val="2"/>
      </rPr>
      <t xml:space="preserve">*Calculated* Gas Viscosity </t>
    </r>
    <r>
      <rPr>
        <i/>
        <sz val="10"/>
        <rFont val="Arial"/>
        <family val="2"/>
      </rPr>
      <t>(µ) =</t>
    </r>
  </si>
  <si>
    <t>Gas Side Wall Temp / Corrected Chamber Temp Ratio =</t>
  </si>
  <si>
    <r>
      <t>in</t>
    </r>
    <r>
      <rPr>
        <i/>
        <vertAlign val="superscript"/>
        <sz val="10"/>
        <rFont val="Arial"/>
        <family val="2"/>
      </rPr>
      <t>2</t>
    </r>
  </si>
  <si>
    <t>Combustion Chamber Surface Area =</t>
  </si>
  <si>
    <r>
      <rPr>
        <sz val="10"/>
        <rFont val="Arial"/>
        <family val="2"/>
      </rPr>
      <t xml:space="preserve">Coolent Side Heat Transfer Coefficent </t>
    </r>
    <r>
      <rPr>
        <i/>
        <sz val="10"/>
        <rFont val="Arial"/>
        <family val="2"/>
      </rPr>
      <t>(h</t>
    </r>
    <r>
      <rPr>
        <i/>
        <vertAlign val="subscript"/>
        <sz val="10"/>
        <rFont val="Arial"/>
        <family val="2"/>
      </rPr>
      <t>c</t>
    </r>
    <r>
      <rPr>
        <i/>
        <sz val="10"/>
        <rFont val="Arial"/>
        <family val="2"/>
      </rPr>
      <t>)=</t>
    </r>
  </si>
  <si>
    <r>
      <rPr>
        <i/>
        <vertAlign val="superscript"/>
        <sz val="10"/>
        <rFont val="Arial"/>
        <family val="2"/>
      </rPr>
      <t>o</t>
    </r>
    <r>
      <rPr>
        <i/>
        <sz val="10"/>
        <rFont val="Arial"/>
        <family val="2"/>
      </rPr>
      <t>K</t>
    </r>
  </si>
  <si>
    <r>
      <t>Coolent Temp after leaving the cooling jacket (T</t>
    </r>
    <r>
      <rPr>
        <vertAlign val="subscript"/>
        <sz val="10"/>
        <rFont val="Arial"/>
        <family val="2"/>
      </rPr>
      <t>exit</t>
    </r>
    <r>
      <rPr>
        <sz val="10"/>
        <rFont val="Arial"/>
        <family val="2"/>
      </rPr>
      <t>) =</t>
    </r>
  </si>
  <si>
    <r>
      <rPr>
        <sz val="10"/>
        <rFont val="Arial"/>
        <family val="2"/>
      </rPr>
      <t xml:space="preserve">Coolent Temp Entering Coolent Jacket </t>
    </r>
    <r>
      <rPr>
        <i/>
        <sz val="10"/>
        <rFont val="Arial"/>
        <family val="2"/>
      </rPr>
      <t>(T</t>
    </r>
    <r>
      <rPr>
        <i/>
        <vertAlign val="subscript"/>
        <sz val="10"/>
        <rFont val="Arial"/>
        <family val="2"/>
      </rPr>
      <t>co</t>
    </r>
    <r>
      <rPr>
        <i/>
        <sz val="10"/>
        <rFont val="Arial"/>
        <family val="2"/>
      </rPr>
      <t>) =</t>
    </r>
  </si>
  <si>
    <r>
      <t>Fuel/Oxidizer Specific Heat Ratio (</t>
    </r>
    <r>
      <rPr>
        <i/>
        <u/>
        <sz val="10"/>
        <color indexed="12"/>
        <rFont val="Arial"/>
        <family val="2"/>
      </rPr>
      <t>k</t>
    </r>
    <r>
      <rPr>
        <u/>
        <sz val="10"/>
        <color indexed="12"/>
        <rFont val="Arial"/>
        <family val="2"/>
      </rPr>
      <t xml:space="preserve">) </t>
    </r>
  </si>
  <si>
    <r>
      <t>Chamber Temperature (</t>
    </r>
    <r>
      <rPr>
        <i/>
        <sz val="10"/>
        <rFont val="Arial"/>
        <family val="2"/>
      </rPr>
      <t>T</t>
    </r>
    <r>
      <rPr>
        <i/>
        <vertAlign val="subscript"/>
        <sz val="10"/>
        <rFont val="Arial"/>
        <family val="2"/>
      </rPr>
      <t>1</t>
    </r>
    <r>
      <rPr>
        <sz val="10"/>
        <rFont val="Arial"/>
        <family val="2"/>
      </rPr>
      <t xml:space="preserve">) = </t>
    </r>
  </si>
  <si>
    <r>
      <t>Nozzle Inlet/Chamber Pressure (</t>
    </r>
    <r>
      <rPr>
        <i/>
        <sz val="10"/>
        <rFont val="Arial"/>
        <family val="2"/>
      </rPr>
      <t>p</t>
    </r>
    <r>
      <rPr>
        <i/>
        <vertAlign val="subscript"/>
        <sz val="10"/>
        <rFont val="Arial"/>
        <family val="2"/>
      </rPr>
      <t>1</t>
    </r>
    <r>
      <rPr>
        <sz val="10"/>
        <rFont val="Arial"/>
        <family val="2"/>
      </rPr>
      <t xml:space="preserve">) = </t>
    </r>
  </si>
  <si>
    <r>
      <t>Nozzle Area Ratio (</t>
    </r>
    <r>
      <rPr>
        <i/>
        <sz val="10"/>
        <rFont val="Arial"/>
        <family val="2"/>
      </rPr>
      <t>A</t>
    </r>
    <r>
      <rPr>
        <i/>
        <vertAlign val="subscript"/>
        <sz val="10"/>
        <rFont val="Arial"/>
        <family val="2"/>
      </rPr>
      <t>t</t>
    </r>
    <r>
      <rPr>
        <i/>
        <sz val="10"/>
        <rFont val="Arial"/>
        <family val="2"/>
      </rPr>
      <t>/A</t>
    </r>
    <r>
      <rPr>
        <i/>
        <vertAlign val="subscript"/>
        <sz val="10"/>
        <rFont val="Arial"/>
        <family val="2"/>
      </rPr>
      <t>2</t>
    </r>
    <r>
      <rPr>
        <sz val="10"/>
        <rFont val="Arial"/>
        <family val="2"/>
      </rPr>
      <t xml:space="preserve">) = </t>
    </r>
  </si>
  <si>
    <t xml:space="preserve">Nozzle Throat Area = </t>
  </si>
  <si>
    <t xml:space="preserve">Nozzle Throat Diameter = </t>
  </si>
  <si>
    <r>
      <t>Propellent Mass Flow Rate Fuel (</t>
    </r>
    <r>
      <rPr>
        <i/>
        <sz val="10"/>
        <rFont val="Arial"/>
        <family val="2"/>
      </rPr>
      <t>m</t>
    </r>
    <r>
      <rPr>
        <i/>
        <vertAlign val="subscript"/>
        <sz val="10"/>
        <rFont val="Arial"/>
        <family val="2"/>
      </rPr>
      <t>f</t>
    </r>
    <r>
      <rPr>
        <sz val="10"/>
        <rFont val="Arial"/>
        <family val="2"/>
      </rPr>
      <t xml:space="preserve">) = </t>
    </r>
  </si>
  <si>
    <r>
      <rPr>
        <b/>
        <sz val="10"/>
        <rFont val="Arial"/>
        <family val="2"/>
      </rPr>
      <t xml:space="preserve">Instructions: </t>
    </r>
    <r>
      <rPr>
        <sz val="10"/>
        <rFont val="Arial"/>
        <family val="2"/>
      </rPr>
      <t xml:space="preserve">This advanced equation takes a number of bipropellant liquid engine inputs and models a variety of outputs  including: velocity, altitude, acceleration, nozzle dimensions, and heat-transfer. All input data should be filled in the yellow boxes. Anything in grey will be calculated automatically and green values are key outputs also calculated automatically. The charts will also update automatically. </t>
    </r>
    <r>
      <rPr>
        <i/>
        <sz val="10"/>
        <rFont val="Arial"/>
        <family val="2"/>
      </rPr>
      <t>Note that thermal conductivity calculations do not consider carbon deposits or nucleate boiling</t>
    </r>
  </si>
  <si>
    <t>*Estimated* Characteristic Velocity (c*) =</t>
  </si>
  <si>
    <t>y-tube-top-upper</t>
  </si>
  <si>
    <t>y-tube-top-lower</t>
  </si>
  <si>
    <t>y-tube-bottom-upper</t>
  </si>
  <si>
    <t>y-tube-bottom-lower</t>
  </si>
  <si>
    <r>
      <t>Specific Heat of Gas (C</t>
    </r>
    <r>
      <rPr>
        <vertAlign val="subscript"/>
        <sz val="10"/>
        <rFont val="Arial"/>
        <family val="2"/>
      </rPr>
      <t>p</t>
    </r>
    <r>
      <rPr>
        <sz val="10"/>
        <rFont val="Arial"/>
        <family val="2"/>
      </rPr>
      <t xml:space="preserve">)= </t>
    </r>
  </si>
  <si>
    <r>
      <t>Oxidizer Volumetric Flow Rate (</t>
    </r>
    <r>
      <rPr>
        <i/>
        <sz val="10"/>
        <rFont val="Arial"/>
        <family val="2"/>
      </rPr>
      <t>Q</t>
    </r>
    <r>
      <rPr>
        <i/>
        <vertAlign val="subscript"/>
        <sz val="10"/>
        <rFont val="Arial"/>
        <family val="2"/>
      </rPr>
      <t>o</t>
    </r>
    <r>
      <rPr>
        <sz val="10"/>
        <rFont val="Arial"/>
        <family val="2"/>
      </rPr>
      <t>) =</t>
    </r>
  </si>
  <si>
    <t>Gas Side Heat Transfer (eg. heat flux) (q) =</t>
  </si>
  <si>
    <r>
      <t xml:space="preserve">Gas Side Heat Transfer (eg. heat flux) </t>
    </r>
    <r>
      <rPr>
        <i/>
        <sz val="10"/>
        <rFont val="Arial"/>
        <family val="2"/>
      </rPr>
      <t>(q)</t>
    </r>
    <r>
      <rPr>
        <sz val="10"/>
        <rFont val="Arial"/>
        <family val="2"/>
      </rPr>
      <t xml:space="preserve"> =</t>
    </r>
  </si>
  <si>
    <r>
      <rPr>
        <sz val="10"/>
        <rFont val="Arial"/>
        <family val="2"/>
      </rPr>
      <t xml:space="preserve">*Experimental* Coolant Viscosity at bulk temp </t>
    </r>
    <r>
      <rPr>
        <i/>
        <sz val="10"/>
        <rFont val="Arial"/>
        <family val="2"/>
      </rPr>
      <t>(µ) =</t>
    </r>
  </si>
  <si>
    <r>
      <rPr>
        <sz val="10"/>
        <rFont val="Arial"/>
        <family val="2"/>
      </rPr>
      <t>*Experimental * Coolant Viscosity at sidewall temp</t>
    </r>
    <r>
      <rPr>
        <i/>
        <sz val="10"/>
        <rFont val="Arial"/>
        <family val="2"/>
      </rPr>
      <t xml:space="preserve"> (µ</t>
    </r>
    <r>
      <rPr>
        <i/>
        <vertAlign val="subscript"/>
        <sz val="10"/>
        <rFont val="Arial"/>
        <family val="2"/>
      </rPr>
      <t>w</t>
    </r>
    <r>
      <rPr>
        <i/>
        <sz val="10"/>
        <rFont val="Arial"/>
        <family val="2"/>
      </rPr>
      <t>) =</t>
    </r>
  </si>
  <si>
    <r>
      <rPr>
        <sz val="10"/>
        <rFont val="Arial"/>
        <family val="2"/>
      </rPr>
      <t xml:space="preserve">*Experimental* Coolant Specific Heat </t>
    </r>
    <r>
      <rPr>
        <i/>
        <sz val="10"/>
        <rFont val="Arial"/>
        <family val="2"/>
      </rPr>
      <t>(C</t>
    </r>
    <r>
      <rPr>
        <i/>
        <vertAlign val="subscript"/>
        <sz val="10"/>
        <rFont val="Arial"/>
        <family val="2"/>
      </rPr>
      <t>cp</t>
    </r>
    <r>
      <rPr>
        <i/>
        <sz val="10"/>
        <rFont val="Arial"/>
        <family val="2"/>
      </rPr>
      <t>) =</t>
    </r>
  </si>
  <si>
    <r>
      <rPr>
        <sz val="10"/>
        <rFont val="Arial"/>
        <family val="2"/>
      </rPr>
      <t>*Experimental* Coolant Thermal Conductivity</t>
    </r>
    <r>
      <rPr>
        <i/>
        <sz val="10"/>
        <rFont val="Arial"/>
        <family val="2"/>
      </rPr>
      <t xml:space="preserve"> (k) =</t>
    </r>
  </si>
  <si>
    <r>
      <rPr>
        <sz val="10"/>
        <rFont val="Arial"/>
        <family val="2"/>
      </rPr>
      <t>Density of Coolant</t>
    </r>
    <r>
      <rPr>
        <i/>
        <sz val="10"/>
        <rFont val="Arial"/>
        <family val="2"/>
      </rPr>
      <t xml:space="preserve"> (ρ) =</t>
    </r>
  </si>
  <si>
    <r>
      <rPr>
        <sz val="10"/>
        <rFont val="Arial"/>
        <family val="2"/>
      </rPr>
      <t>Coolant Critical Temperature</t>
    </r>
    <r>
      <rPr>
        <i/>
        <sz val="10"/>
        <rFont val="Arial"/>
        <family val="2"/>
      </rPr>
      <t xml:space="preserve"> (T</t>
    </r>
    <r>
      <rPr>
        <i/>
        <vertAlign val="subscript"/>
        <sz val="10"/>
        <rFont val="Arial"/>
        <family val="2"/>
      </rPr>
      <t>cc</t>
    </r>
    <r>
      <rPr>
        <i/>
        <sz val="10"/>
        <rFont val="Arial"/>
        <family val="2"/>
      </rPr>
      <t>) =</t>
    </r>
  </si>
  <si>
    <t>num segments</t>
  </si>
  <si>
    <t>theta</t>
  </si>
  <si>
    <t>arc length</t>
  </si>
  <si>
    <t>circumfrence</t>
  </si>
  <si>
    <t>diameter of circle</t>
  </si>
  <si>
    <t>nozzle diameter</t>
  </si>
  <si>
    <t xml:space="preserve">perimeter (C) </t>
  </si>
  <si>
    <t>number of tubes (n)</t>
  </si>
  <si>
    <t>width of deformed tube (w)</t>
  </si>
  <si>
    <t>diameter of undeformed tube (d)</t>
  </si>
  <si>
    <t>perimeter of tube (p). Presumably un-deformed</t>
  </si>
  <si>
    <t>height of deformed tube (h)</t>
  </si>
  <si>
    <t>d-h</t>
  </si>
  <si>
    <t>channel length</t>
  </si>
  <si>
    <t>num vertices</t>
  </si>
  <si>
    <t>vertice length</t>
  </si>
  <si>
    <t>multiplier</t>
  </si>
  <si>
    <t>injector face</t>
  </si>
  <si>
    <t>Center (Flame) Hole Thread Size</t>
  </si>
  <si>
    <t>1/2-20</t>
  </si>
  <si>
    <t>Oxidizer Injector # of Holes</t>
  </si>
  <si>
    <t xml:space="preserve">Oxidizer in-line Fitting </t>
  </si>
  <si>
    <t>overall radius =</t>
  </si>
  <si>
    <t>Center (Flame) Hole radius</t>
  </si>
  <si>
    <t>Oxidizer injector Total Diameter (of all holes)</t>
  </si>
  <si>
    <t>Fuel Injector # of Holes</t>
  </si>
  <si>
    <t>Fuel injector Total Diameter (of all holes)</t>
  </si>
  <si>
    <t>kW</t>
  </si>
  <si>
    <r>
      <t>kW/m</t>
    </r>
    <r>
      <rPr>
        <vertAlign val="superscript"/>
        <sz val="10"/>
        <rFont val="Arial"/>
        <family val="2"/>
      </rPr>
      <t>2</t>
    </r>
    <r>
      <rPr>
        <sz val="10"/>
        <rFont val="Arial"/>
        <family val="2"/>
      </rPr>
      <t>-K</t>
    </r>
  </si>
  <si>
    <r>
      <rPr>
        <sz val="10"/>
        <rFont val="Arial"/>
        <family val="2"/>
      </rPr>
      <t>Coolent Tube Area</t>
    </r>
    <r>
      <rPr>
        <i/>
        <sz val="10"/>
        <rFont val="Arial"/>
        <family val="2"/>
      </rPr>
      <t xml:space="preserve"> (a) =</t>
    </r>
  </si>
  <si>
    <t>W/m/K</t>
  </si>
  <si>
    <t>circle</t>
  </si>
  <si>
    <t>square</t>
  </si>
  <si>
    <t>Coolant Tube Diameter Derived from Sieder Tate (d)</t>
  </si>
  <si>
    <r>
      <t>mm</t>
    </r>
    <r>
      <rPr>
        <i/>
        <vertAlign val="superscript"/>
        <sz val="10"/>
        <rFont val="Arial"/>
        <family val="2"/>
      </rPr>
      <t>2</t>
    </r>
  </si>
  <si>
    <r>
      <t>Btu/in</t>
    </r>
    <r>
      <rPr>
        <vertAlign val="superscript"/>
        <sz val="10"/>
        <rFont val="Arial"/>
        <family val="2"/>
      </rPr>
      <t>2</t>
    </r>
    <r>
      <rPr>
        <sz val="10"/>
        <rFont val="Arial"/>
        <family val="2"/>
      </rPr>
      <t>-s</t>
    </r>
  </si>
  <si>
    <r>
      <t>kW/m</t>
    </r>
    <r>
      <rPr>
        <vertAlign val="superscript"/>
        <sz val="10"/>
        <rFont val="Arial"/>
        <family val="2"/>
      </rPr>
      <t>2</t>
    </r>
  </si>
  <si>
    <t>1 Btu/ft2 h = 3.1525 W/m2</t>
  </si>
  <si>
    <t>Btu/ft2 sec</t>
  </si>
  <si>
    <t>Btu/in2 sec</t>
  </si>
  <si>
    <t>W/m^2</t>
  </si>
  <si>
    <t>kW/m^2</t>
  </si>
  <si>
    <t xml:space="preserve">  kJ/(kg·K)</t>
  </si>
  <si>
    <t>kg/(m·sec)</t>
  </si>
  <si>
    <t>Thermal Conductivity of the Gas (k) =</t>
  </si>
  <si>
    <t>W/(m·K)</t>
  </si>
  <si>
    <t>Oxidizer Injection Location (distance from center)</t>
  </si>
  <si>
    <t>Oxidizer in-line Location (distance from center)</t>
  </si>
  <si>
    <t>mm (where applicable)</t>
  </si>
  <si>
    <t>Fuel Injection Location (distance from center)</t>
  </si>
  <si>
    <t>Outer radius of engine chamber =</t>
  </si>
  <si>
    <t>Oxidizer in-line Fitting Thread Radius</t>
  </si>
  <si>
    <t>Oxidizer Impingement Angle</t>
  </si>
  <si>
    <t>Oxidizer injector impingement distance from bottom of injector</t>
  </si>
  <si>
    <t>Fuel Impingement Angle</t>
  </si>
  <si>
    <t>Fuel injector impingement distance from bottom of injector</t>
  </si>
  <si>
    <t>Fuel in-line Location (distance from center)</t>
  </si>
  <si>
    <t>Fuel in-line Fitting</t>
  </si>
  <si>
    <t>fuel in-line Fitting Thread Radius</t>
  </si>
  <si>
    <t>1/8 NPT F</t>
  </si>
  <si>
    <t>inches (R drill)</t>
  </si>
  <si>
    <t>Location of O-ring Outter(distance from center) =</t>
  </si>
  <si>
    <t>Location of O-ring Inner (distance from center) =</t>
  </si>
  <si>
    <t>Igniter/Engine O-Ring Seal Type =</t>
  </si>
  <si>
    <t>Location of Injector Fastening Bolts (distance from center) =</t>
  </si>
  <si>
    <t>Fastening Bolts Thread =</t>
  </si>
  <si>
    <t>Fastening Bolts Thread Radius =</t>
  </si>
  <si>
    <t>Fuel Injector hole Radius(Per Hole as Fabricated)</t>
  </si>
  <si>
    <t>Fuel Injector Hole Radius (Per Hole Needed)</t>
  </si>
  <si>
    <t>Oxidize Injector Hole Radius (Per Hole)</t>
  </si>
  <si>
    <t xml:space="preserve"> 1 11/16" 1 7/8"</t>
  </si>
  <si>
    <t xml:space="preserve">McMaster #9464K131 </t>
  </si>
  <si>
    <t>kJ/(kg·K)</t>
  </si>
  <si>
    <t>pos</t>
  </si>
  <si>
    <t>time</t>
  </si>
  <si>
    <t>inches (4-40 set screw thread)</t>
  </si>
  <si>
    <t>psia</t>
  </si>
  <si>
    <r>
      <t>Fuel Coefficient of Discharge (</t>
    </r>
    <r>
      <rPr>
        <i/>
        <sz val="10"/>
        <rFont val="Arial"/>
        <family val="2"/>
      </rPr>
      <t>C</t>
    </r>
    <r>
      <rPr>
        <i/>
        <vertAlign val="subscript"/>
        <sz val="10"/>
        <rFont val="Arial"/>
        <family val="2"/>
      </rPr>
      <t>d</t>
    </r>
    <r>
      <rPr>
        <sz val="10"/>
        <rFont val="Arial"/>
        <family val="2"/>
      </rPr>
      <t xml:space="preserve">) = </t>
    </r>
  </si>
  <si>
    <r>
      <t>Oxidizer Coefficient of Discharge (</t>
    </r>
    <r>
      <rPr>
        <i/>
        <sz val="10"/>
        <rFont val="Arial"/>
        <family val="2"/>
      </rPr>
      <t>C</t>
    </r>
    <r>
      <rPr>
        <i/>
        <vertAlign val="subscript"/>
        <sz val="10"/>
        <rFont val="Arial"/>
        <family val="2"/>
      </rPr>
      <t>d</t>
    </r>
    <r>
      <rPr>
        <sz val="10"/>
        <rFont val="Arial"/>
        <family val="2"/>
      </rPr>
      <t xml:space="preserve">) = </t>
    </r>
  </si>
  <si>
    <t>Engine Cap Dimmensions</t>
  </si>
  <si>
    <t>Engine Dimensions</t>
  </si>
  <si>
    <t>Engine Orifice Locations =</t>
  </si>
  <si>
    <t>inches (where applicable)</t>
  </si>
  <si>
    <t>Throat Start Position =</t>
  </si>
  <si>
    <t>Exit Angle =</t>
  </si>
  <si>
    <t>Fuel Line In Location =</t>
  </si>
  <si>
    <t>Throat Start Radius Internal =</t>
  </si>
  <si>
    <t>Throat Start Radius External =</t>
  </si>
  <si>
    <t>Throat End Position =</t>
  </si>
  <si>
    <t>Chamber Convergence Angle =</t>
  </si>
  <si>
    <t xml:space="preserve">Chamber Convergence Position = </t>
  </si>
  <si>
    <t>Chamber Top Position =</t>
  </si>
  <si>
    <t>Fuel Line Out Location =</t>
  </si>
  <si>
    <t>O-ring width</t>
  </si>
  <si>
    <t>Center (Flame) Hole height (to match igniter thread depth)</t>
  </si>
  <si>
    <t>Depth</t>
  </si>
  <si>
    <t>1/8-27 NPT Tap Body</t>
  </si>
  <si>
    <t>Bounding Wall =</t>
  </si>
  <si>
    <t>Taper Depth =</t>
  </si>
  <si>
    <t>taper start radius =</t>
  </si>
  <si>
    <t>taper scale factor =</t>
  </si>
  <si>
    <t>Number of Tubes =</t>
  </si>
  <si>
    <t>Exit Radius External =</t>
  </si>
  <si>
    <t>Exit Radius Internal =</t>
  </si>
  <si>
    <t>Chamber Convergence Radius Internal =</t>
  </si>
  <si>
    <t>Chamber Convergence Radius External =</t>
  </si>
  <si>
    <t>Exit Chanel Position =</t>
  </si>
  <si>
    <t>Exit Chanel location from center =</t>
  </si>
  <si>
    <t>Throat Start Tube location from center =</t>
  </si>
  <si>
    <t>Exit Chanel length =</t>
  </si>
  <si>
    <t>Chamber Convergence Chanel Length =</t>
  </si>
  <si>
    <t>Fuel line radius</t>
  </si>
  <si>
    <t>fuel line in distance from center =</t>
  </si>
  <si>
    <t>fuel line out distance from center =</t>
  </si>
  <si>
    <t>Hole Radius</t>
  </si>
  <si>
    <t>Hole Depth =</t>
  </si>
  <si>
    <t>Inside Width</t>
  </si>
  <si>
    <t>Outside Width</t>
  </si>
  <si>
    <t>Total Length</t>
  </si>
  <si>
    <t>Inside Length</t>
  </si>
  <si>
    <t>Bracket center point height from base =</t>
  </si>
  <si>
    <t>Bracket distance from center =</t>
  </si>
  <si>
    <t>Hole Location 2 (z) =</t>
  </si>
  <si>
    <t>Hole Location 3 (z) =</t>
  </si>
  <si>
    <t>Hole Location 3 (y) =</t>
  </si>
  <si>
    <t>Hole Location 2 (y) =</t>
  </si>
  <si>
    <t>Hole Location 1 (y) =</t>
  </si>
  <si>
    <t>Hole Location 1 (z) =</t>
  </si>
  <si>
    <t>Holding Bracket (top)</t>
  </si>
  <si>
    <t>Holding Bracket (bottom)</t>
  </si>
  <si>
    <t>W=</t>
  </si>
  <si>
    <t>L=</t>
  </si>
  <si>
    <t>Screw Hole z2 =</t>
  </si>
  <si>
    <t>Screw Hole z1 =</t>
  </si>
  <si>
    <t>Screw Hole y (+/-) =</t>
  </si>
  <si>
    <t>Screw Hole Thread radius =</t>
  </si>
  <si>
    <t>Screw Hole Perimiter (R*2) =</t>
  </si>
  <si>
    <t>Total Length =</t>
  </si>
  <si>
    <t>Total Width =</t>
  </si>
  <si>
    <t>Total Depth =</t>
  </si>
  <si>
    <t>Chamber Pressure location =</t>
  </si>
  <si>
    <t>Check Valve</t>
  </si>
  <si>
    <t>Pressure Regulator</t>
  </si>
  <si>
    <t>Pressure Gage Sensor</t>
  </si>
  <si>
    <t>Solenoid Valve 1/4" F NPT both ends</t>
  </si>
  <si>
    <t>Ball Valve</t>
  </si>
  <si>
    <t>Rupture Disc (Prevents Overpressurization)</t>
  </si>
  <si>
    <t>Nozzle Atomozier</t>
  </si>
  <si>
    <t>Tee Connect</t>
  </si>
  <si>
    <t>Female Connector</t>
  </si>
  <si>
    <t>Male Connector</t>
  </si>
  <si>
    <t xml:space="preserve">Pin Valve </t>
  </si>
  <si>
    <t>ASA (Air Source Adapter) 1/8" NPT Female</t>
  </si>
  <si>
    <t>1/8" Flexible Stainless Steel Tubing Male/Male</t>
  </si>
  <si>
    <t>Compression Fitting</t>
  </si>
  <si>
    <t>5/18-18 UNF O Ring Seal Male to AN 6 Male to 1/8 NPT Male</t>
  </si>
  <si>
    <t>Ninja Male/Female 1/8" NPT Quick Connect/Disconnect.</t>
  </si>
  <si>
    <t>1/8" OD Copper Tubing</t>
  </si>
  <si>
    <t>1/8" NPT F, High-Pressure Brass Inline Strainer 9802K5</t>
  </si>
  <si>
    <t>1/4" NPT M Quarter Turn Plug Valve</t>
  </si>
  <si>
    <t>Male Male Nipple NPT</t>
  </si>
  <si>
    <t>1/4-28</t>
  </si>
  <si>
    <t>length</t>
  </si>
  <si>
    <t>eaa</t>
  </si>
  <si>
    <t>secion 1</t>
  </si>
  <si>
    <t>section 2</t>
  </si>
  <si>
    <t>section 3</t>
  </si>
  <si>
    <t>start</t>
  </si>
  <si>
    <t>mid</t>
  </si>
  <si>
    <t>hole location</t>
  </si>
  <si>
    <t>a</t>
  </si>
  <si>
    <t>Chamber Convergence Chanel Start location from center =</t>
  </si>
  <si>
    <t>Chamber Convergence Chanel End location from center =</t>
  </si>
  <si>
    <t>Chamber Convergence Chanel Start Height =</t>
  </si>
  <si>
    <t>Chamber Convergence Chanel End Height =</t>
  </si>
  <si>
    <t>Chamber Convergence End location from center (2) =</t>
  </si>
  <si>
    <r>
      <rPr>
        <i/>
        <sz val="10"/>
        <rFont val="Arial"/>
        <family val="2"/>
      </rPr>
      <t>**Gas Only**</t>
    </r>
    <r>
      <rPr>
        <sz val="10"/>
        <rFont val="Arial"/>
        <family val="2"/>
      </rPr>
      <t xml:space="preserve"> Fuel Choked Flow Critical Value</t>
    </r>
    <r>
      <rPr>
        <i/>
        <sz val="10"/>
        <rFont val="Arial"/>
        <family val="2"/>
      </rPr>
      <t>(p*)</t>
    </r>
    <r>
      <rPr>
        <sz val="10"/>
        <rFont val="Arial"/>
        <family val="2"/>
      </rPr>
      <t>=</t>
    </r>
  </si>
  <si>
    <r>
      <t>*p</t>
    </r>
    <r>
      <rPr>
        <i/>
        <vertAlign val="subscript"/>
        <sz val="10"/>
        <rFont val="Arial"/>
        <family val="2"/>
      </rPr>
      <t>1</t>
    </r>
  </si>
  <si>
    <r>
      <rPr>
        <i/>
        <sz val="10"/>
        <rFont val="Arial"/>
        <family val="2"/>
      </rPr>
      <t>**Gas Only**</t>
    </r>
    <r>
      <rPr>
        <sz val="10"/>
        <rFont val="Arial"/>
        <family val="2"/>
      </rPr>
      <t xml:space="preserve"> Oxidizer Choked Flow Critical Value</t>
    </r>
    <r>
      <rPr>
        <i/>
        <sz val="10"/>
        <rFont val="Arial"/>
        <family val="2"/>
      </rPr>
      <t>(p*)</t>
    </r>
    <r>
      <rPr>
        <sz val="10"/>
        <rFont val="Arial"/>
        <family val="2"/>
      </rPr>
      <t>=</t>
    </r>
  </si>
  <si>
    <t>**Gas Only** Fuel Minimum Choked Flow psia =</t>
  </si>
  <si>
    <t>**Gas Only** Oxidizer Minimum Choked Flow psia =</t>
  </si>
  <si>
    <r>
      <rPr>
        <i/>
        <sz val="10"/>
        <rFont val="Arial"/>
        <family val="2"/>
      </rPr>
      <t>**Gas Only**</t>
    </r>
    <r>
      <rPr>
        <sz val="10"/>
        <rFont val="Arial"/>
        <family val="2"/>
      </rPr>
      <t xml:space="preserve"> Fuel is Flow Choked? =</t>
    </r>
  </si>
  <si>
    <r>
      <rPr>
        <i/>
        <sz val="10"/>
        <rFont val="Arial"/>
        <family val="2"/>
      </rPr>
      <t>**Gas Only**</t>
    </r>
    <r>
      <rPr>
        <sz val="10"/>
        <rFont val="Arial"/>
        <family val="2"/>
      </rPr>
      <t xml:space="preserve"> Oxidizer is Flow Choked? =</t>
    </r>
  </si>
  <si>
    <t>Hole Depth</t>
  </si>
  <si>
    <t>3D Design Hole Diameter (6-40) =</t>
  </si>
  <si>
    <t>3D Hole Outer Shell Diameter</t>
  </si>
  <si>
    <t>3D Hole Distance From Center Exit</t>
  </si>
  <si>
    <t>3D Hole Outer Shell Distance From Center Exit</t>
  </si>
  <si>
    <t>Hole Depth 'Z' height</t>
  </si>
  <si>
    <t>Hole Depth 'Y' position</t>
  </si>
  <si>
    <t>Access Holes</t>
  </si>
  <si>
    <t>3D Hole Distance From Center Top</t>
  </si>
  <si>
    <t>mm'</t>
  </si>
  <si>
    <t>External Diameter (6-32) =</t>
  </si>
  <si>
    <t>SeelScrew Head Diameter</t>
  </si>
  <si>
    <t>SeelScrew Depth</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</si>
</sst>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164" formatCode="_ * #,##0.00_)\ _$_ ;_ * \(#,##0.00\)\ _$_ ;_ * &quot;-&quot;??_)\ _$_ ;_ @_ "/>
    <numFmt numFmtId="165" formatCode="#,##0.000"/>
    <numFmt numFmtId="166" formatCode="0.00000%"/>
    <numFmt numFmtId="167" formatCode="0.0000"/>
    <numFmt numFmtId="168" formatCode="#,##0.0000"/>
    <numFmt numFmtId="169" formatCode="#,##0.00000000"/>
    <numFmt numFmtId="170" formatCode="0.00000000"/>
    <numFmt numFmtId="171" formatCode="0.000000%"/>
    <numFmt numFmtId="172" formatCode="0.00000000000000000000"/>
    <numFmt numFmtId="173" formatCode="0.000000"/>
    <numFmt numFmtId="174" formatCode="#,##0.00000"/>
    <numFmt numFmtId="175" formatCode="#,##0.000000"/>
    <numFmt numFmtId="176" formatCode="#,##0.0000000"/>
    <numFmt numFmtId="177" formatCode="0.00000"/>
    <numFmt numFmtId="178" formatCode="0.000000000"/>
    <numFmt numFmtId="179" formatCode="0.000000000000000"/>
    <numFmt numFmtId="180" formatCode="0.0000000000"/>
    <numFmt numFmtId="181" formatCode="0.00000000000"/>
    <numFmt numFmtId="182" formatCode="#,##0.000000000"/>
    <numFmt numFmtId="183" formatCode="0.00000000000000"/>
    <numFmt numFmtId="184" formatCode="0.000"/>
    <numFmt numFmtId="185" formatCode="0.0000000000000"/>
    <numFmt numFmtId="186" formatCode="#,##0.000000000000000"/>
    <numFmt numFmtId="187" formatCode="#,##0.0000000000000"/>
    <numFmt numFmtId="188" formatCode="&quot;$&quot;#,##0.00"/>
  </numFmts>
  <fonts count="3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vertAlign val="subscript"/>
      <sz val="10"/>
      <name val="Arial"/>
      <family val="2"/>
    </font>
    <font>
      <b/>
      <sz val="14"/>
      <name val="Arial"/>
      <family val="2"/>
    </font>
    <font>
      <sz val="8"/>
      <color indexed="81"/>
      <name val="Tahoma"/>
      <family val="2"/>
    </font>
    <font>
      <b/>
      <sz val="8"/>
      <color indexed="81"/>
      <name val="Tahoma"/>
      <family val="2"/>
    </font>
    <font>
      <u/>
      <sz val="10"/>
      <color indexed="12"/>
      <name val="Arial"/>
      <family val="2"/>
    </font>
    <font>
      <sz val="12"/>
      <name val="Arial"/>
      <family val="2"/>
    </font>
    <font>
      <i/>
      <sz val="10"/>
      <name val="Arial"/>
      <family val="2"/>
    </font>
    <font>
      <i/>
      <sz val="12"/>
      <name val="Arial"/>
      <family val="2"/>
    </font>
    <font>
      <i/>
      <vertAlign val="subscript"/>
      <sz val="10"/>
      <name val="Arial"/>
      <family val="2"/>
    </font>
    <font>
      <vertAlign val="superscript"/>
      <sz val="10"/>
      <name val="Arial"/>
      <family val="2"/>
    </font>
    <font>
      <sz val="10"/>
      <name val="Arial"/>
      <family val="2"/>
    </font>
    <font>
      <i/>
      <u/>
      <sz val="10"/>
      <color indexed="12"/>
      <name val="Arial"/>
      <family val="2"/>
    </font>
    <font>
      <b/>
      <sz val="10"/>
      <name val="Arial"/>
      <family val="2"/>
    </font>
    <font>
      <b/>
      <vertAlign val="superscript"/>
      <sz val="10"/>
      <name val="Arial"/>
      <family val="2"/>
    </font>
    <font>
      <u/>
      <sz val="10"/>
      <color indexed="12"/>
      <name val="Arial"/>
      <family val="2"/>
    </font>
    <font>
      <i/>
      <vertAlign val="superscript"/>
      <sz val="10"/>
      <name val="Arial"/>
      <family val="2"/>
    </font>
    <font>
      <b/>
      <i/>
      <sz val="10"/>
      <name val="Arial"/>
      <family val="2"/>
    </font>
    <font>
      <vertAlign val="superscript"/>
      <sz val="8"/>
      <color indexed="81"/>
      <name val="Tahoma"/>
      <family val="2"/>
    </font>
    <font>
      <b/>
      <i/>
      <vertAlign val="subscript"/>
      <sz val="10"/>
      <name val="Arial"/>
      <family val="2"/>
    </font>
    <font>
      <vertAlign val="subscript"/>
      <sz val="8"/>
      <color indexed="81"/>
      <name val="Tahoma"/>
      <family val="2"/>
    </font>
    <font>
      <b/>
      <sz val="11"/>
      <name val="Arial"/>
      <family val="2"/>
    </font>
    <font>
      <sz val="9"/>
      <color indexed="81"/>
      <name val="Tahoma"/>
      <family val="2"/>
    </font>
    <font>
      <b/>
      <sz val="9"/>
      <color indexed="81"/>
      <name val="Tahoma"/>
      <family val="2"/>
    </font>
    <font>
      <sz val="10"/>
      <color rgb="FFFF0000"/>
      <name val="Arial"/>
      <family val="2"/>
    </font>
    <font>
      <sz val="10"/>
      <name val="Arial"/>
      <family val="2"/>
    </font>
    <font>
      <u/>
      <sz val="11"/>
      <color theme="10"/>
      <name val="Calibri"/>
      <family val="2"/>
      <scheme val="minor"/>
    </font>
    <font>
      <b/>
      <sz val="11"/>
      <color theme="1"/>
      <name val="Calibri"/>
      <family val="2"/>
      <scheme val="minor"/>
    </font>
    <font>
      <u/>
      <sz val="10"/>
      <name val="Arial"/>
      <family val="2"/>
    </font>
    <font>
      <sz val="10"/>
      <color rgb="FFFFFFFF"/>
      <name val="Arial"/>
      <family val="2"/>
    </font>
  </fonts>
  <fills count="21">
    <fill>
      <patternFill patternType="none"/>
    </fill>
    <fill>
      <patternFill patternType="gray125"/>
    </fill>
    <fill>
      <patternFill patternType="solid">
        <fgColor indexed="50"/>
        <bgColor indexed="64"/>
      </patternFill>
    </fill>
    <fill>
      <patternFill patternType="solid">
        <fgColor indexed="4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rgb="FFFFFF99"/>
        <bgColor indexed="64"/>
      </patternFill>
    </fill>
    <fill>
      <patternFill patternType="solid">
        <fgColor rgb="FF99CC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A5D773"/>
        <bgColor indexed="64"/>
      </patternFill>
    </fill>
    <fill>
      <patternFill patternType="solid">
        <fgColor rgb="FFFFFF66"/>
        <bgColor indexed="64"/>
      </patternFill>
    </fill>
    <fill>
      <patternFill patternType="solid">
        <fgColor theme="9" tint="0.39997558519241921"/>
        <bgColor indexed="64"/>
      </patternFill>
    </fill>
    <fill>
      <patternFill patternType="solid">
        <fgColor rgb="FFFFFFA7"/>
        <bgColor indexed="64"/>
      </patternFill>
    </fill>
    <fill>
      <patternFill patternType="solid">
        <fgColor theme="8" tint="0.59999389629810485"/>
        <bgColor indexed="64"/>
      </patternFill>
    </fill>
    <fill>
      <patternFill patternType="solid">
        <fgColor rgb="FFFFFF81"/>
        <bgColor indexed="64"/>
      </patternFill>
    </fill>
    <fill>
      <patternFill patternType="solid">
        <fgColor theme="6"/>
        <bgColor indexed="64"/>
      </patternFill>
    </fill>
  </fills>
  <borders count="3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4">
    <xf numFmtId="0" fontId="0" fillId="0" borderId="0"/>
    <xf numFmtId="164" fontId="4" fillId="0" borderId="0" applyFont="0" applyFill="0" applyBorder="0" applyAlignment="0" applyProtection="0"/>
    <xf numFmtId="0" fontId="9" fillId="0" borderId="0" applyNumberFormat="0" applyFill="0" applyBorder="0" applyAlignment="0" applyProtection="0">
      <alignment vertical="top"/>
      <protection locked="0"/>
    </xf>
    <xf numFmtId="9" fontId="29" fillId="0" borderId="0" applyFont="0" applyFill="0" applyBorder="0" applyAlignment="0" applyProtection="0"/>
    <xf numFmtId="0" fontId="3"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2" fillId="0" borderId="0"/>
    <xf numFmtId="9" fontId="2" fillId="0" borderId="0" applyFont="0" applyFill="0" applyBorder="0" applyAlignment="0" applyProtection="0"/>
    <xf numFmtId="0" fontId="30"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301">
    <xf numFmtId="0" fontId="0" fillId="0" borderId="0" xfId="0"/>
    <xf numFmtId="0" fontId="0" fillId="0" borderId="0" xfId="0" applyBorder="1"/>
    <xf numFmtId="0" fontId="0" fillId="3" borderId="6" xfId="0" applyFill="1" applyBorder="1"/>
    <xf numFmtId="0" fontId="0" fillId="0" borderId="0" xfId="0" applyFill="1" applyBorder="1"/>
    <xf numFmtId="0" fontId="11" fillId="0" borderId="0" xfId="0" applyFont="1" applyBorder="1"/>
    <xf numFmtId="0" fontId="10" fillId="0" borderId="0" xfId="0" applyFont="1" applyFill="1" applyBorder="1" applyAlignment="1"/>
    <xf numFmtId="0" fontId="17" fillId="0" borderId="0" xfId="0" applyFont="1"/>
    <xf numFmtId="0" fontId="11" fillId="0" borderId="0" xfId="0" applyFont="1"/>
    <xf numFmtId="4" fontId="0" fillId="0" borderId="6" xfId="0" applyNumberFormat="1" applyBorder="1"/>
    <xf numFmtId="0" fontId="0" fillId="0" borderId="10" xfId="0" applyBorder="1"/>
    <xf numFmtId="0" fontId="0" fillId="0" borderId="15" xfId="0" applyBorder="1"/>
    <xf numFmtId="4" fontId="0" fillId="0" borderId="16" xfId="0" applyNumberFormat="1" applyBorder="1"/>
    <xf numFmtId="0" fontId="15" fillId="0" borderId="0" xfId="0" applyFont="1" applyBorder="1"/>
    <xf numFmtId="0" fontId="19" fillId="0" borderId="0" xfId="2" applyFont="1" applyBorder="1" applyAlignment="1" applyProtection="1"/>
    <xf numFmtId="0" fontId="15" fillId="3" borderId="6" xfId="0" applyFont="1" applyFill="1" applyBorder="1"/>
    <xf numFmtId="0" fontId="15" fillId="0" borderId="0" xfId="0" applyFont="1"/>
    <xf numFmtId="0" fontId="17" fillId="0" borderId="0" xfId="0" applyFont="1" applyBorder="1"/>
    <xf numFmtId="0" fontId="15" fillId="0" borderId="0" xfId="0" applyFont="1" applyFill="1" applyBorder="1"/>
    <xf numFmtId="0" fontId="0" fillId="4" borderId="6" xfId="0" applyFill="1" applyBorder="1"/>
    <xf numFmtId="0" fontId="15" fillId="4" borderId="6" xfId="0" applyFont="1" applyFill="1" applyBorder="1"/>
    <xf numFmtId="0" fontId="15" fillId="5" borderId="6" xfId="0" applyFont="1" applyFill="1" applyBorder="1"/>
    <xf numFmtId="10" fontId="15" fillId="5" borderId="6" xfId="0" applyNumberFormat="1" applyFont="1" applyFill="1" applyBorder="1"/>
    <xf numFmtId="10" fontId="15" fillId="0" borderId="0" xfId="0" applyNumberFormat="1" applyFont="1" applyFill="1" applyBorder="1"/>
    <xf numFmtId="2" fontId="15" fillId="0" borderId="0" xfId="0" applyNumberFormat="1" applyFont="1" applyFill="1" applyBorder="1"/>
    <xf numFmtId="2" fontId="0" fillId="0" borderId="6" xfId="0" applyNumberFormat="1" applyBorder="1"/>
    <xf numFmtId="4" fontId="0" fillId="0" borderId="14" xfId="0" applyNumberFormat="1" applyBorder="1"/>
    <xf numFmtId="0" fontId="6" fillId="0" borderId="0" xfId="0" applyFont="1" applyAlignment="1">
      <alignment horizontal="center"/>
    </xf>
    <xf numFmtId="0" fontId="0" fillId="6" borderId="11" xfId="0" applyFill="1" applyBorder="1"/>
    <xf numFmtId="2" fontId="0" fillId="6" borderId="12" xfId="0" applyNumberFormat="1" applyFill="1" applyBorder="1"/>
    <xf numFmtId="4" fontId="0" fillId="6" borderId="12" xfId="0" applyNumberFormat="1" applyFill="1" applyBorder="1"/>
    <xf numFmtId="0" fontId="0" fillId="6" borderId="12" xfId="0" applyFill="1" applyBorder="1"/>
    <xf numFmtId="0" fontId="0" fillId="6" borderId="22" xfId="0" applyFill="1" applyBorder="1"/>
    <xf numFmtId="0" fontId="17" fillId="7" borderId="8" xfId="0" applyFont="1" applyFill="1" applyBorder="1"/>
    <xf numFmtId="0" fontId="17" fillId="7" borderId="18" xfId="0" applyFont="1" applyFill="1" applyBorder="1"/>
    <xf numFmtId="2" fontId="17" fillId="7" borderId="18" xfId="0" applyNumberFormat="1" applyFont="1" applyFill="1" applyBorder="1"/>
    <xf numFmtId="0" fontId="17" fillId="8" borderId="18" xfId="0" applyFont="1" applyFill="1" applyBorder="1"/>
    <xf numFmtId="0" fontId="17" fillId="8" borderId="9" xfId="0" applyFont="1" applyFill="1" applyBorder="1"/>
    <xf numFmtId="166" fontId="0" fillId="6" borderId="12" xfId="0" applyNumberFormat="1" applyFill="1" applyBorder="1"/>
    <xf numFmtId="166" fontId="0" fillId="0" borderId="6" xfId="0" applyNumberFormat="1" applyBorder="1"/>
    <xf numFmtId="168" fontId="0" fillId="6" borderId="12" xfId="0" applyNumberFormat="1" applyFill="1" applyBorder="1"/>
    <xf numFmtId="4" fontId="0" fillId="3" borderId="6" xfId="0" applyNumberFormat="1" applyFill="1" applyBorder="1"/>
    <xf numFmtId="168" fontId="0" fillId="0" borderId="12" xfId="0" applyNumberFormat="1" applyFill="1" applyBorder="1"/>
    <xf numFmtId="0" fontId="12" fillId="0" borderId="0" xfId="0" applyFont="1" applyFill="1" applyBorder="1" applyAlignment="1"/>
    <xf numFmtId="168" fontId="0" fillId="0" borderId="6" xfId="0" applyNumberFormat="1" applyBorder="1"/>
    <xf numFmtId="0" fontId="0" fillId="4" borderId="14" xfId="0" applyFill="1" applyBorder="1"/>
    <xf numFmtId="0" fontId="15" fillId="0" borderId="0" xfId="2" applyFont="1" applyFill="1" applyBorder="1" applyAlignment="1" applyProtection="1"/>
    <xf numFmtId="4" fontId="0" fillId="0" borderId="0" xfId="0" applyNumberFormat="1" applyFill="1" applyBorder="1"/>
    <xf numFmtId="169" fontId="0" fillId="4" borderId="6" xfId="0" applyNumberFormat="1" applyFill="1" applyBorder="1"/>
    <xf numFmtId="0" fontId="15" fillId="9" borderId="6" xfId="0" applyFont="1" applyFill="1" applyBorder="1"/>
    <xf numFmtId="0" fontId="15" fillId="9" borderId="6" xfId="0" applyFont="1" applyFill="1" applyBorder="1" applyAlignment="1">
      <alignment vertical="center"/>
    </xf>
    <xf numFmtId="168" fontId="0" fillId="9" borderId="6" xfId="0" applyNumberFormat="1" applyFill="1" applyBorder="1"/>
    <xf numFmtId="0" fontId="15" fillId="10" borderId="6" xfId="0" applyFont="1" applyFill="1" applyBorder="1" applyAlignment="1">
      <alignment vertical="center"/>
    </xf>
    <xf numFmtId="168" fontId="0" fillId="10" borderId="6" xfId="0" applyNumberFormat="1" applyFill="1" applyBorder="1"/>
    <xf numFmtId="0" fontId="15" fillId="10" borderId="6" xfId="0" applyFont="1" applyFill="1" applyBorder="1"/>
    <xf numFmtId="0" fontId="17" fillId="10" borderId="23" xfId="0" applyFont="1" applyFill="1" applyBorder="1"/>
    <xf numFmtId="10" fontId="17" fillId="10" borderId="24" xfId="0" applyNumberFormat="1" applyFont="1" applyFill="1" applyBorder="1"/>
    <xf numFmtId="4" fontId="15" fillId="10" borderId="15" xfId="0" applyNumberFormat="1" applyFont="1" applyFill="1" applyBorder="1"/>
    <xf numFmtId="4" fontId="15" fillId="10" borderId="17" xfId="0" applyNumberFormat="1" applyFont="1" applyFill="1" applyBorder="1"/>
    <xf numFmtId="0" fontId="15" fillId="4" borderId="6" xfId="0" applyFont="1" applyFill="1" applyBorder="1" applyAlignment="1">
      <alignment vertical="center"/>
    </xf>
    <xf numFmtId="0" fontId="15" fillId="4" borderId="6" xfId="0" applyFont="1" applyFill="1" applyBorder="1" applyAlignment="1">
      <alignment wrapText="1"/>
    </xf>
    <xf numFmtId="0" fontId="0" fillId="0" borderId="0" xfId="0" applyFont="1" applyFill="1" applyBorder="1"/>
    <xf numFmtId="4" fontId="0" fillId="4" borderId="6" xfId="0" applyNumberFormat="1" applyFill="1" applyBorder="1"/>
    <xf numFmtId="168" fontId="15" fillId="4" borderId="6" xfId="0" applyNumberFormat="1" applyFont="1" applyFill="1" applyBorder="1"/>
    <xf numFmtId="4" fontId="0" fillId="9" borderId="6" xfId="0" applyNumberFormat="1" applyFill="1" applyBorder="1"/>
    <xf numFmtId="171" fontId="0" fillId="4" borderId="6" xfId="0" applyNumberFormat="1" applyFill="1" applyBorder="1"/>
    <xf numFmtId="10" fontId="15" fillId="10" borderId="6" xfId="0" applyNumberFormat="1" applyFont="1" applyFill="1" applyBorder="1"/>
    <xf numFmtId="172" fontId="15" fillId="6" borderId="12" xfId="0" applyNumberFormat="1" applyFont="1" applyFill="1" applyBorder="1" applyAlignment="1">
      <alignment wrapText="1"/>
    </xf>
    <xf numFmtId="172" fontId="15" fillId="0" borderId="12" xfId="0" applyNumberFormat="1" applyFont="1" applyFill="1" applyBorder="1" applyAlignment="1">
      <alignment wrapText="1"/>
    </xf>
    <xf numFmtId="2" fontId="0" fillId="0" borderId="12" xfId="0" applyNumberFormat="1" applyFill="1" applyBorder="1"/>
    <xf numFmtId="4" fontId="0" fillId="10" borderId="6" xfId="0" applyNumberFormat="1" applyFill="1" applyBorder="1"/>
    <xf numFmtId="10" fontId="17" fillId="10" borderId="25" xfId="0" applyNumberFormat="1" applyFont="1" applyFill="1" applyBorder="1"/>
    <xf numFmtId="4" fontId="15" fillId="10" borderId="16" xfId="0" applyNumberFormat="1" applyFont="1" applyFill="1" applyBorder="1"/>
    <xf numFmtId="168" fontId="0" fillId="0" borderId="14" xfId="0" applyNumberFormat="1" applyBorder="1"/>
    <xf numFmtId="168" fontId="15" fillId="9" borderId="6" xfId="0" applyNumberFormat="1" applyFont="1" applyFill="1" applyBorder="1"/>
    <xf numFmtId="4" fontId="15" fillId="10" borderId="6" xfId="0" applyNumberFormat="1" applyFont="1" applyFill="1" applyBorder="1"/>
    <xf numFmtId="4" fontId="0" fillId="0" borderId="17" xfId="0" applyNumberFormat="1" applyBorder="1"/>
    <xf numFmtId="0" fontId="17" fillId="8" borderId="11" xfId="0" applyFont="1" applyFill="1" applyBorder="1"/>
    <xf numFmtId="0" fontId="17" fillId="8" borderId="12" xfId="0" applyFont="1" applyFill="1" applyBorder="1"/>
    <xf numFmtId="0" fontId="17" fillId="8" borderId="22" xfId="0" applyFont="1" applyFill="1" applyBorder="1"/>
    <xf numFmtId="0" fontId="0" fillId="11" borderId="14" xfId="0" applyFill="1" applyBorder="1"/>
    <xf numFmtId="10" fontId="0" fillId="3" borderId="6" xfId="0" applyNumberFormat="1" applyFill="1" applyBorder="1"/>
    <xf numFmtId="173" fontId="15" fillId="10" borderId="6" xfId="0" applyNumberFormat="1" applyFont="1" applyFill="1" applyBorder="1"/>
    <xf numFmtId="174" fontId="0" fillId="4" borderId="6" xfId="0" applyNumberFormat="1" applyFill="1" applyBorder="1"/>
    <xf numFmtId="0" fontId="15" fillId="13" borderId="6" xfId="0" applyFont="1" applyFill="1" applyBorder="1" applyAlignment="1">
      <alignment vertical="center"/>
    </xf>
    <xf numFmtId="0" fontId="15" fillId="13" borderId="6" xfId="0" applyFont="1" applyFill="1" applyBorder="1"/>
    <xf numFmtId="0" fontId="0" fillId="13" borderId="6" xfId="0" applyFill="1" applyBorder="1"/>
    <xf numFmtId="165" fontId="0" fillId="13" borderId="6" xfId="0" applyNumberFormat="1" applyFill="1" applyBorder="1"/>
    <xf numFmtId="0" fontId="0" fillId="3" borderId="6" xfId="0" applyNumberFormat="1" applyFill="1" applyBorder="1"/>
    <xf numFmtId="2" fontId="0" fillId="9" borderId="6" xfId="0" applyNumberFormat="1" applyFill="1" applyBorder="1"/>
    <xf numFmtId="174" fontId="0" fillId="9" borderId="6" xfId="0" applyNumberFormat="1" applyFill="1" applyBorder="1"/>
    <xf numFmtId="0" fontId="15" fillId="14" borderId="6" xfId="0" applyFont="1" applyFill="1" applyBorder="1"/>
    <xf numFmtId="168" fontId="0" fillId="14" borderId="6" xfId="0" applyNumberFormat="1" applyFill="1" applyBorder="1"/>
    <xf numFmtId="174" fontId="0" fillId="0" borderId="0" xfId="0" applyNumberFormat="1"/>
    <xf numFmtId="174" fontId="15" fillId="0" borderId="0" xfId="0" applyNumberFormat="1" applyFont="1"/>
    <xf numFmtId="165" fontId="0" fillId="0" borderId="0" xfId="0" applyNumberFormat="1"/>
    <xf numFmtId="165" fontId="15" fillId="0" borderId="0" xfId="0" applyNumberFormat="1" applyFont="1"/>
    <xf numFmtId="176" fontId="0" fillId="9" borderId="6" xfId="0" applyNumberFormat="1" applyFill="1" applyBorder="1"/>
    <xf numFmtId="0" fontId="15" fillId="0" borderId="0" xfId="0" applyNumberFormat="1" applyFont="1" applyFill="1" applyBorder="1"/>
    <xf numFmtId="170" fontId="0" fillId="4" borderId="6" xfId="0" applyNumberFormat="1" applyFill="1" applyBorder="1"/>
    <xf numFmtId="0" fontId="4" fillId="0" borderId="0" xfId="0" applyFont="1" applyAlignment="1">
      <alignment wrapText="1"/>
    </xf>
    <xf numFmtId="0" fontId="4" fillId="0" borderId="0" xfId="0" applyFont="1" applyBorder="1"/>
    <xf numFmtId="0" fontId="4" fillId="0" borderId="0" xfId="0" applyFont="1" applyBorder="1" applyAlignment="1">
      <alignment vertical="center"/>
    </xf>
    <xf numFmtId="0" fontId="4" fillId="0" borderId="0" xfId="0" applyFont="1" applyFill="1" applyBorder="1"/>
    <xf numFmtId="0" fontId="4" fillId="0" borderId="0" xfId="0" applyFont="1" applyFill="1" applyBorder="1" applyAlignment="1">
      <alignment horizontal="left" wrapText="1"/>
    </xf>
    <xf numFmtId="4" fontId="0" fillId="14" borderId="6" xfId="0" applyNumberFormat="1" applyFill="1" applyBorder="1"/>
    <xf numFmtId="0" fontId="4" fillId="9" borderId="6" xfId="0" applyFont="1" applyFill="1" applyBorder="1" applyAlignment="1">
      <alignment wrapText="1"/>
    </xf>
    <xf numFmtId="0" fontId="4" fillId="0" borderId="0" xfId="0" applyFont="1"/>
    <xf numFmtId="0" fontId="4" fillId="4" borderId="6" xfId="0" applyFont="1" applyFill="1" applyBorder="1"/>
    <xf numFmtId="2" fontId="0" fillId="4" borderId="6" xfId="0" applyNumberFormat="1" applyFill="1" applyBorder="1"/>
    <xf numFmtId="0" fontId="4" fillId="9" borderId="6" xfId="0" applyFont="1" applyFill="1" applyBorder="1" applyAlignment="1">
      <alignment horizontal="left" vertical="center"/>
    </xf>
    <xf numFmtId="0" fontId="4" fillId="3" borderId="6" xfId="0" applyFont="1" applyFill="1" applyBorder="1"/>
    <xf numFmtId="0" fontId="4" fillId="10" borderId="6" xfId="0" applyFont="1" applyFill="1" applyBorder="1"/>
    <xf numFmtId="178" fontId="0" fillId="10" borderId="6" xfId="0" applyNumberFormat="1" applyFill="1" applyBorder="1"/>
    <xf numFmtId="0" fontId="4" fillId="14" borderId="6" xfId="0" applyFont="1" applyFill="1" applyBorder="1"/>
    <xf numFmtId="178" fontId="0" fillId="14" borderId="6" xfId="0" applyNumberFormat="1" applyFill="1" applyBorder="1"/>
    <xf numFmtId="178" fontId="0" fillId="0" borderId="0" xfId="0" applyNumberFormat="1" applyFill="1" applyBorder="1"/>
    <xf numFmtId="0" fontId="4" fillId="0" borderId="0" xfId="0" applyFont="1" applyFill="1" applyBorder="1" applyAlignment="1">
      <alignment horizontal="left" vertical="top"/>
    </xf>
    <xf numFmtId="178" fontId="0" fillId="0" borderId="0" xfId="1" applyNumberFormat="1" applyFont="1" applyFill="1" applyBorder="1"/>
    <xf numFmtId="170" fontId="0" fillId="13" borderId="6" xfId="0" applyNumberFormat="1" applyFill="1" applyBorder="1"/>
    <xf numFmtId="0" fontId="11" fillId="0" borderId="0" xfId="0" applyFont="1" applyAlignment="1">
      <alignment horizontal="center"/>
    </xf>
    <xf numFmtId="168" fontId="0" fillId="13" borderId="6" xfId="0" applyNumberFormat="1" applyFill="1" applyBorder="1"/>
    <xf numFmtId="16" fontId="0" fillId="0" borderId="0" xfId="0" applyNumberFormat="1"/>
    <xf numFmtId="2" fontId="0" fillId="0" borderId="0" xfId="0" applyNumberFormat="1"/>
    <xf numFmtId="177" fontId="0" fillId="0" borderId="0" xfId="0" applyNumberFormat="1"/>
    <xf numFmtId="174" fontId="0" fillId="13" borderId="6" xfId="0" applyNumberFormat="1" applyFill="1" applyBorder="1"/>
    <xf numFmtId="0" fontId="4" fillId="9" borderId="6" xfId="0" applyFont="1" applyFill="1" applyBorder="1"/>
    <xf numFmtId="0" fontId="17" fillId="0" borderId="0" xfId="0" applyFont="1" applyAlignment="1">
      <alignment horizontal="right"/>
    </xf>
    <xf numFmtId="49" fontId="4" fillId="0" borderId="0" xfId="0" applyNumberFormat="1" applyFont="1" applyAlignment="1">
      <alignment horizontal="right"/>
    </xf>
    <xf numFmtId="0" fontId="4" fillId="0" borderId="0" xfId="0" applyNumberFormat="1" applyFont="1"/>
    <xf numFmtId="0" fontId="0" fillId="0" borderId="0" xfId="0" applyNumberFormat="1"/>
    <xf numFmtId="2" fontId="0" fillId="0" borderId="0" xfId="0" applyNumberFormat="1" applyAlignment="1">
      <alignment horizontal="right"/>
    </xf>
    <xf numFmtId="2" fontId="4" fillId="0" borderId="0" xfId="0" applyNumberFormat="1" applyFont="1"/>
    <xf numFmtId="0" fontId="9" fillId="3" borderId="6" xfId="2" applyFont="1" applyFill="1" applyBorder="1" applyAlignment="1" applyProtection="1"/>
    <xf numFmtId="167" fontId="0" fillId="0" borderId="0" xfId="0" applyNumberFormat="1"/>
    <xf numFmtId="0" fontId="4" fillId="0" borderId="0" xfId="0" applyNumberFormat="1" applyFont="1" applyAlignment="1">
      <alignment horizontal="right"/>
    </xf>
    <xf numFmtId="179" fontId="0" fillId="0" borderId="0" xfId="0" applyNumberFormat="1"/>
    <xf numFmtId="0" fontId="9" fillId="15" borderId="6" xfId="2" applyFont="1" applyFill="1" applyBorder="1" applyAlignment="1" applyProtection="1"/>
    <xf numFmtId="4" fontId="0" fillId="15" borderId="6" xfId="0" applyNumberFormat="1" applyFill="1" applyBorder="1"/>
    <xf numFmtId="0" fontId="4" fillId="15" borderId="6" xfId="0" applyFont="1" applyFill="1" applyBorder="1" applyAlignment="1">
      <alignment vertical="center"/>
    </xf>
    <xf numFmtId="165" fontId="0" fillId="15" borderId="6" xfId="0" applyNumberFormat="1" applyFill="1" applyBorder="1"/>
    <xf numFmtId="168" fontId="0" fillId="15" borderId="6" xfId="0" applyNumberFormat="1" applyFill="1" applyBorder="1"/>
    <xf numFmtId="174" fontId="0" fillId="15" borderId="6" xfId="0" applyNumberFormat="1" applyFill="1" applyBorder="1"/>
    <xf numFmtId="0" fontId="4" fillId="15" borderId="28" xfId="0" applyFont="1" applyFill="1" applyBorder="1" applyAlignment="1">
      <alignment vertical="center"/>
    </xf>
    <xf numFmtId="0" fontId="4" fillId="10" borderId="6" xfId="0" applyFont="1" applyFill="1" applyBorder="1" applyAlignment="1">
      <alignment wrapText="1"/>
    </xf>
    <xf numFmtId="0" fontId="4" fillId="14" borderId="6" xfId="0" applyFont="1" applyFill="1" applyBorder="1" applyAlignment="1">
      <alignment wrapText="1"/>
    </xf>
    <xf numFmtId="0" fontId="4" fillId="4" borderId="6" xfId="0" applyFont="1" applyFill="1" applyBorder="1" applyAlignment="1">
      <alignment wrapText="1"/>
    </xf>
    <xf numFmtId="0" fontId="4" fillId="13" borderId="6" xfId="0" applyFont="1" applyFill="1" applyBorder="1" applyAlignment="1">
      <alignment wrapText="1"/>
    </xf>
    <xf numFmtId="182" fontId="0" fillId="4" borderId="6" xfId="0" applyNumberFormat="1" applyFill="1" applyBorder="1"/>
    <xf numFmtId="183" fontId="0" fillId="4" borderId="6" xfId="0" applyNumberFormat="1" applyFill="1" applyBorder="1"/>
    <xf numFmtId="183" fontId="0" fillId="10" borderId="6" xfId="0" applyNumberFormat="1" applyFill="1" applyBorder="1"/>
    <xf numFmtId="173" fontId="0" fillId="13" borderId="6" xfId="0" applyNumberFormat="1" applyFill="1" applyBorder="1"/>
    <xf numFmtId="173" fontId="0" fillId="14" borderId="6" xfId="0" applyNumberFormat="1" applyFill="1" applyBorder="1"/>
    <xf numFmtId="165" fontId="0" fillId="15" borderId="28" xfId="0" applyNumberFormat="1" applyFill="1" applyBorder="1"/>
    <xf numFmtId="4" fontId="0" fillId="15" borderId="28" xfId="0" applyNumberFormat="1" applyFill="1" applyBorder="1"/>
    <xf numFmtId="0" fontId="4" fillId="16" borderId="6" xfId="0" applyFont="1" applyFill="1" applyBorder="1" applyAlignment="1">
      <alignment vertical="center"/>
    </xf>
    <xf numFmtId="4" fontId="0" fillId="16" borderId="6" xfId="0" applyNumberFormat="1" applyFill="1" applyBorder="1"/>
    <xf numFmtId="168" fontId="0" fillId="16" borderId="6" xfId="0" applyNumberFormat="1" applyFill="1" applyBorder="1"/>
    <xf numFmtId="167" fontId="4" fillId="9" borderId="6" xfId="0" applyNumberFormat="1" applyFont="1" applyFill="1" applyBorder="1" applyAlignment="1">
      <alignment horizontal="right" wrapText="1"/>
    </xf>
    <xf numFmtId="0" fontId="21" fillId="0" borderId="0" xfId="0" applyFont="1"/>
    <xf numFmtId="9" fontId="0" fillId="0" borderId="0" xfId="3" applyFont="1"/>
    <xf numFmtId="178" fontId="0" fillId="0" borderId="0" xfId="0" applyNumberFormat="1"/>
    <xf numFmtId="0" fontId="11" fillId="0" borderId="0" xfId="0" applyFont="1" applyFill="1" applyBorder="1"/>
    <xf numFmtId="0" fontId="28" fillId="0" borderId="0" xfId="0" applyFont="1"/>
    <xf numFmtId="168" fontId="0" fillId="4" borderId="6" xfId="0" applyNumberFormat="1" applyFill="1" applyBorder="1"/>
    <xf numFmtId="0" fontId="11" fillId="4" borderId="6" xfId="0" applyFont="1" applyFill="1" applyBorder="1"/>
    <xf numFmtId="10" fontId="0" fillId="4" borderId="6" xfId="3" applyNumberFormat="1" applyFont="1" applyFill="1" applyBorder="1"/>
    <xf numFmtId="4" fontId="15" fillId="9" borderId="6" xfId="0" applyNumberFormat="1" applyFont="1" applyFill="1" applyBorder="1"/>
    <xf numFmtId="0" fontId="0" fillId="9" borderId="6" xfId="0" applyFill="1" applyBorder="1"/>
    <xf numFmtId="0" fontId="11" fillId="4" borderId="10" xfId="0" applyFont="1" applyFill="1" applyBorder="1" applyAlignment="1">
      <alignment wrapText="1"/>
    </xf>
    <xf numFmtId="0" fontId="11" fillId="10" borderId="10" xfId="0" applyFont="1" applyFill="1" applyBorder="1" applyAlignment="1">
      <alignment wrapText="1"/>
    </xf>
    <xf numFmtId="0" fontId="0" fillId="10" borderId="6" xfId="0" applyFill="1" applyBorder="1"/>
    <xf numFmtId="0" fontId="0" fillId="10" borderId="14" xfId="0" applyFill="1" applyBorder="1"/>
    <xf numFmtId="0" fontId="11" fillId="10" borderId="10" xfId="0" applyFont="1" applyFill="1" applyBorder="1"/>
    <xf numFmtId="4" fontId="4" fillId="10" borderId="6" xfId="0" applyNumberFormat="1" applyFont="1" applyFill="1" applyBorder="1"/>
    <xf numFmtId="0" fontId="4" fillId="13" borderId="6" xfId="0" applyFont="1" applyFill="1" applyBorder="1" applyAlignment="1">
      <alignment vertical="center"/>
    </xf>
    <xf numFmtId="0" fontId="4" fillId="4" borderId="23" xfId="0" applyFont="1" applyFill="1" applyBorder="1"/>
    <xf numFmtId="0" fontId="0" fillId="4" borderId="25" xfId="0" applyFill="1" applyBorder="1"/>
    <xf numFmtId="173" fontId="0" fillId="4" borderId="24" xfId="0" applyNumberFormat="1" applyFill="1" applyBorder="1"/>
    <xf numFmtId="0" fontId="4" fillId="2" borderId="6" xfId="0" applyFont="1" applyFill="1" applyBorder="1" applyAlignment="1">
      <alignment horizontal="left" vertical="top"/>
    </xf>
    <xf numFmtId="0" fontId="0" fillId="11" borderId="30" xfId="0" applyFill="1" applyBorder="1"/>
    <xf numFmtId="0" fontId="17" fillId="18" borderId="31" xfId="0" applyFont="1" applyFill="1" applyBorder="1"/>
    <xf numFmtId="0" fontId="17" fillId="18" borderId="32" xfId="0" applyFont="1" applyFill="1" applyBorder="1"/>
    <xf numFmtId="182" fontId="0" fillId="10" borderId="6" xfId="0" applyNumberFormat="1" applyFill="1" applyBorder="1"/>
    <xf numFmtId="0" fontId="11" fillId="13" borderId="15" xfId="0" applyFont="1" applyFill="1" applyBorder="1" applyAlignment="1">
      <alignment wrapText="1"/>
    </xf>
    <xf numFmtId="0" fontId="0" fillId="13" borderId="16" xfId="0" applyFill="1" applyBorder="1"/>
    <xf numFmtId="0" fontId="0" fillId="13" borderId="17" xfId="0" applyFill="1" applyBorder="1"/>
    <xf numFmtId="180" fontId="0" fillId="4" borderId="6" xfId="0" applyNumberFormat="1" applyFill="1" applyBorder="1"/>
    <xf numFmtId="181" fontId="0" fillId="4" borderId="6" xfId="0" applyNumberFormat="1" applyFill="1" applyBorder="1"/>
    <xf numFmtId="180" fontId="0" fillId="4" borderId="14" xfId="0" applyNumberFormat="1" applyFill="1" applyBorder="1"/>
    <xf numFmtId="0" fontId="11" fillId="10" borderId="1" xfId="0" applyFont="1" applyFill="1" applyBorder="1"/>
    <xf numFmtId="0" fontId="4" fillId="10" borderId="6" xfId="0" applyFont="1" applyFill="1" applyBorder="1" applyAlignment="1">
      <alignment vertical="center"/>
    </xf>
    <xf numFmtId="0" fontId="15" fillId="0" borderId="0" xfId="0" applyFont="1" applyAlignment="1"/>
    <xf numFmtId="0" fontId="17" fillId="0" borderId="0" xfId="0" applyFont="1" applyAlignment="1"/>
    <xf numFmtId="184" fontId="0" fillId="0" borderId="0" xfId="0" applyNumberFormat="1"/>
    <xf numFmtId="186" fontId="0" fillId="0" borderId="0" xfId="0" applyNumberFormat="1"/>
    <xf numFmtId="0" fontId="4" fillId="10" borderId="10" xfId="0" applyFont="1" applyFill="1" applyBorder="1" applyAlignment="1">
      <alignment wrapText="1"/>
    </xf>
    <xf numFmtId="0" fontId="11" fillId="14" borderId="10" xfId="0" applyFont="1" applyFill="1" applyBorder="1" applyAlignment="1">
      <alignment wrapText="1"/>
    </xf>
    <xf numFmtId="177" fontId="0" fillId="4" borderId="6" xfId="0" applyNumberFormat="1" applyFill="1" applyBorder="1"/>
    <xf numFmtId="177" fontId="0" fillId="4" borderId="14" xfId="0" applyNumberFormat="1" applyFill="1" applyBorder="1"/>
    <xf numFmtId="184" fontId="0" fillId="10" borderId="6" xfId="0" applyNumberFormat="1" applyFill="1" applyBorder="1"/>
    <xf numFmtId="184" fontId="0" fillId="10" borderId="14" xfId="0" applyNumberFormat="1" applyFill="1" applyBorder="1"/>
    <xf numFmtId="0" fontId="11" fillId="14" borderId="10" xfId="0" applyFont="1" applyFill="1" applyBorder="1"/>
    <xf numFmtId="170" fontId="4" fillId="10" borderId="28" xfId="0" applyNumberFormat="1" applyFont="1" applyFill="1" applyBorder="1"/>
    <xf numFmtId="170" fontId="4" fillId="10" borderId="29" xfId="0" applyNumberFormat="1" applyFont="1" applyFill="1" applyBorder="1"/>
    <xf numFmtId="4" fontId="4" fillId="14" borderId="6" xfId="0" applyNumberFormat="1" applyFont="1" applyFill="1" applyBorder="1"/>
    <xf numFmtId="4" fontId="4" fillId="10" borderId="14" xfId="0" applyNumberFormat="1" applyFont="1" applyFill="1" applyBorder="1"/>
    <xf numFmtId="0" fontId="4" fillId="4" borderId="10" xfId="0" applyFont="1" applyFill="1" applyBorder="1" applyAlignment="1">
      <alignment wrapText="1"/>
    </xf>
    <xf numFmtId="0" fontId="4" fillId="13" borderId="10" xfId="0" applyFont="1" applyFill="1" applyBorder="1" applyAlignment="1">
      <alignment wrapText="1"/>
    </xf>
    <xf numFmtId="0" fontId="0" fillId="13" borderId="14" xfId="0" applyFill="1" applyBorder="1"/>
    <xf numFmtId="0" fontId="4" fillId="14" borderId="15" xfId="0" applyFont="1" applyFill="1" applyBorder="1" applyAlignment="1">
      <alignment wrapText="1"/>
    </xf>
    <xf numFmtId="0" fontId="0" fillId="14" borderId="17" xfId="0" applyFill="1" applyBorder="1"/>
    <xf numFmtId="165" fontId="4" fillId="10" borderId="14" xfId="0" applyNumberFormat="1" applyFont="1" applyFill="1" applyBorder="1"/>
    <xf numFmtId="165" fontId="0" fillId="14" borderId="2" xfId="0" applyNumberFormat="1" applyFill="1" applyBorder="1"/>
    <xf numFmtId="0" fontId="4" fillId="9" borderId="23" xfId="0" applyFont="1" applyFill="1" applyBorder="1"/>
    <xf numFmtId="0" fontId="0" fillId="9" borderId="24" xfId="0" applyFill="1" applyBorder="1"/>
    <xf numFmtId="0" fontId="4" fillId="4" borderId="10" xfId="0" applyFont="1" applyFill="1" applyBorder="1"/>
    <xf numFmtId="0" fontId="11" fillId="4" borderId="10" xfId="0" applyFont="1" applyFill="1" applyBorder="1"/>
    <xf numFmtId="0" fontId="11" fillId="17" borderId="10" xfId="0" applyFont="1" applyFill="1" applyBorder="1"/>
    <xf numFmtId="0" fontId="4" fillId="17" borderId="14" xfId="0" applyFont="1" applyFill="1" applyBorder="1"/>
    <xf numFmtId="0" fontId="0" fillId="17" borderId="14" xfId="0" applyFill="1" applyBorder="1"/>
    <xf numFmtId="0" fontId="11" fillId="13" borderId="10" xfId="0" applyFont="1" applyFill="1" applyBorder="1"/>
    <xf numFmtId="184" fontId="0" fillId="13" borderId="14" xfId="0" applyNumberFormat="1" applyFill="1" applyBorder="1"/>
    <xf numFmtId="173" fontId="0" fillId="0" borderId="0" xfId="0" applyNumberFormat="1"/>
    <xf numFmtId="177" fontId="11" fillId="0" borderId="0" xfId="0" applyNumberFormat="1" applyFont="1"/>
    <xf numFmtId="167" fontId="4" fillId="0" borderId="0" xfId="0" applyNumberFormat="1" applyFont="1"/>
    <xf numFmtId="168" fontId="0" fillId="0" borderId="0" xfId="0" applyNumberFormat="1"/>
    <xf numFmtId="167" fontId="11" fillId="0" borderId="0" xfId="0" applyNumberFormat="1" applyFont="1"/>
    <xf numFmtId="2" fontId="0" fillId="4" borderId="14" xfId="0" applyNumberFormat="1" applyFill="1" applyBorder="1"/>
    <xf numFmtId="173" fontId="4" fillId="4" borderId="14" xfId="0" applyNumberFormat="1" applyFont="1" applyFill="1" applyBorder="1"/>
    <xf numFmtId="0" fontId="4" fillId="13" borderId="14" xfId="0" applyFont="1" applyFill="1" applyBorder="1"/>
    <xf numFmtId="0" fontId="11" fillId="10" borderId="11" xfId="0" applyFont="1" applyFill="1" applyBorder="1"/>
    <xf numFmtId="165" fontId="4" fillId="10" borderId="22" xfId="0" applyNumberFormat="1" applyFont="1" applyFill="1" applyBorder="1"/>
    <xf numFmtId="0" fontId="0" fillId="20" borderId="0" xfId="0" applyFill="1"/>
    <xf numFmtId="0" fontId="11" fillId="14" borderId="11" xfId="0" applyFont="1" applyFill="1" applyBorder="1"/>
    <xf numFmtId="165" fontId="4" fillId="14" borderId="22" xfId="0" applyNumberFormat="1" applyFont="1" applyFill="1" applyBorder="1"/>
    <xf numFmtId="0" fontId="0" fillId="13" borderId="29" xfId="0" applyFill="1" applyBorder="1"/>
    <xf numFmtId="173" fontId="4" fillId="13" borderId="14" xfId="0" applyNumberFormat="1" applyFont="1" applyFill="1" applyBorder="1"/>
    <xf numFmtId="0" fontId="11" fillId="19" borderId="11" xfId="0" applyFont="1" applyFill="1" applyBorder="1"/>
    <xf numFmtId="2" fontId="0" fillId="19" borderId="22" xfId="0" applyNumberFormat="1" applyFill="1" applyBorder="1"/>
    <xf numFmtId="0" fontId="4" fillId="13" borderId="10" xfId="0" applyFont="1" applyFill="1" applyBorder="1"/>
    <xf numFmtId="2" fontId="0" fillId="13" borderId="14" xfId="0" applyNumberFormat="1" applyFill="1" applyBorder="1"/>
    <xf numFmtId="0" fontId="11" fillId="13" borderId="27" xfId="0" applyFont="1" applyFill="1" applyBorder="1"/>
    <xf numFmtId="0" fontId="0" fillId="0" borderId="0" xfId="0" applyNumberFormat="1" applyFill="1" applyBorder="1"/>
    <xf numFmtId="0" fontId="3" fillId="0" borderId="0" xfId="4" applyFill="1"/>
    <xf numFmtId="177" fontId="0" fillId="13" borderId="14" xfId="0" applyNumberFormat="1" applyFill="1" applyBorder="1"/>
    <xf numFmtId="178" fontId="0" fillId="17" borderId="14" xfId="0" applyNumberFormat="1" applyFill="1" applyBorder="1"/>
    <xf numFmtId="178" fontId="0" fillId="13" borderId="14" xfId="0" applyNumberFormat="1" applyFill="1" applyBorder="1"/>
    <xf numFmtId="0" fontId="11" fillId="14" borderId="0" xfId="0" applyFont="1" applyFill="1"/>
    <xf numFmtId="2" fontId="0" fillId="13" borderId="6" xfId="0" applyNumberFormat="1" applyFill="1" applyBorder="1"/>
    <xf numFmtId="0" fontId="4" fillId="17" borderId="10" xfId="0" applyFont="1" applyFill="1" applyBorder="1"/>
    <xf numFmtId="0" fontId="11" fillId="17" borderId="15" xfId="0" applyFont="1" applyFill="1" applyBorder="1"/>
    <xf numFmtId="177" fontId="4" fillId="17" borderId="17" xfId="0" applyNumberFormat="1" applyFont="1" applyFill="1" applyBorder="1"/>
    <xf numFmtId="187" fontId="0" fillId="0" borderId="0" xfId="0" applyNumberFormat="1"/>
    <xf numFmtId="184" fontId="4" fillId="0" borderId="0" xfId="0" applyNumberFormat="1" applyFont="1"/>
    <xf numFmtId="185" fontId="4" fillId="0" borderId="0" xfId="0" applyNumberFormat="1" applyFont="1" applyAlignment="1">
      <alignment horizontal="right"/>
    </xf>
    <xf numFmtId="184" fontId="4" fillId="0" borderId="0" xfId="0" applyNumberFormat="1" applyFont="1" applyAlignment="1">
      <alignment wrapText="1"/>
    </xf>
    <xf numFmtId="169" fontId="4" fillId="0" borderId="0" xfId="0" applyNumberFormat="1" applyFont="1" applyFill="1" applyBorder="1" applyAlignment="1">
      <alignment horizontal="left" vertical="top"/>
    </xf>
    <xf numFmtId="175" fontId="4" fillId="0" borderId="0" xfId="0" applyNumberFormat="1" applyFont="1" applyFill="1" applyBorder="1"/>
    <xf numFmtId="177" fontId="0" fillId="17" borderId="14" xfId="0" applyNumberFormat="1" applyFill="1" applyBorder="1"/>
    <xf numFmtId="178" fontId="15" fillId="0" borderId="0" xfId="0" applyNumberFormat="1" applyFont="1"/>
    <xf numFmtId="0" fontId="4" fillId="0" borderId="0" xfId="0" applyFont="1" applyAlignment="1">
      <alignment horizontal="center"/>
    </xf>
    <xf numFmtId="0" fontId="32" fillId="0" borderId="0" xfId="0" applyFont="1"/>
    <xf numFmtId="177" fontId="17" fillId="0" borderId="0" xfId="0" applyNumberFormat="1" applyFont="1"/>
    <xf numFmtId="2" fontId="17" fillId="0" borderId="0" xfId="0" applyNumberFormat="1" applyFont="1"/>
    <xf numFmtId="0" fontId="17" fillId="0" borderId="0" xfId="0" applyNumberFormat="1" applyFont="1"/>
    <xf numFmtId="185" fontId="4" fillId="0" borderId="0" xfId="0" applyNumberFormat="1" applyFont="1"/>
    <xf numFmtId="0" fontId="31" fillId="0" borderId="0" xfId="0" applyFont="1"/>
    <xf numFmtId="0" fontId="0" fillId="0" borderId="0" xfId="0" applyAlignment="1">
      <alignment wrapText="1"/>
    </xf>
    <xf numFmtId="188" fontId="31" fillId="0" borderId="0" xfId="0" applyNumberFormat="1" applyFont="1"/>
    <xf numFmtId="0" fontId="31" fillId="0" borderId="0" xfId="0" applyFont="1" applyAlignment="1">
      <alignment wrapText="1"/>
    </xf>
    <xf numFmtId="188" fontId="0" fillId="0" borderId="0" xfId="0" applyNumberFormat="1"/>
    <xf numFmtId="0" fontId="9" fillId="0" borderId="0" xfId="2" applyAlignment="1" applyProtection="1"/>
    <xf numFmtId="0" fontId="31" fillId="0" borderId="0" xfId="0" applyFont="1" applyBorder="1"/>
    <xf numFmtId="188" fontId="0" fillId="0" borderId="0" xfId="0" applyNumberFormat="1" applyBorder="1"/>
    <xf numFmtId="0" fontId="9" fillId="0" borderId="0" xfId="2" applyBorder="1" applyAlignment="1" applyProtection="1"/>
    <xf numFmtId="0" fontId="9" fillId="0" borderId="0" xfId="2" applyBorder="1" applyAlignment="1" applyProtection="1">
      <alignment horizontal="left" wrapText="1" indent="1"/>
    </xf>
    <xf numFmtId="0" fontId="0" fillId="0" borderId="0" xfId="0" applyBorder="1" applyAlignment="1">
      <alignment wrapText="1"/>
    </xf>
    <xf numFmtId="49" fontId="28" fillId="0" borderId="0" xfId="0" applyNumberFormat="1" applyFont="1" applyAlignment="1">
      <alignment horizontal="right"/>
    </xf>
    <xf numFmtId="177" fontId="4" fillId="0" borderId="0" xfId="0" applyNumberFormat="1" applyFont="1"/>
    <xf numFmtId="165" fontId="0" fillId="13" borderId="28" xfId="0" applyNumberFormat="1" applyFill="1" applyBorder="1"/>
    <xf numFmtId="0" fontId="4" fillId="4" borderId="6" xfId="0" applyFont="1" applyFill="1" applyBorder="1" applyAlignment="1">
      <alignment horizontal="left" vertical="center"/>
    </xf>
    <xf numFmtId="167" fontId="4" fillId="4" borderId="6" xfId="0" applyNumberFormat="1" applyFont="1" applyFill="1" applyBorder="1" applyAlignment="1">
      <alignment horizontal="right" wrapText="1"/>
    </xf>
    <xf numFmtId="0" fontId="33" fillId="0" borderId="0" xfId="0" applyFont="1"/>
    <xf numFmtId="0" fontId="6" fillId="0" borderId="7" xfId="0" applyFont="1" applyBorder="1" applyAlignment="1">
      <alignment horizontal="center"/>
    </xf>
    <xf numFmtId="0" fontId="6" fillId="0" borderId="21" xfId="0" applyFont="1" applyBorder="1" applyAlignment="1">
      <alignment horizontal="center"/>
    </xf>
    <xf numFmtId="0" fontId="6" fillId="0" borderId="13" xfId="0" applyFont="1" applyBorder="1" applyAlignment="1">
      <alignment horizontal="center"/>
    </xf>
    <xf numFmtId="0" fontId="25" fillId="9" borderId="8" xfId="0" applyFont="1" applyFill="1" applyBorder="1" applyAlignment="1">
      <alignment horizontal="center"/>
    </xf>
    <xf numFmtId="0" fontId="25" fillId="9" borderId="18" xfId="0" applyFont="1" applyFill="1" applyBorder="1" applyAlignment="1">
      <alignment horizontal="center"/>
    </xf>
    <xf numFmtId="0" fontId="25" fillId="9" borderId="9" xfId="0" applyFont="1" applyFill="1" applyBorder="1" applyAlignment="1">
      <alignment horizontal="center"/>
    </xf>
    <xf numFmtId="0" fontId="15" fillId="0" borderId="0" xfId="0" applyFont="1" applyAlignment="1">
      <alignment horizontal="center"/>
    </xf>
    <xf numFmtId="0" fontId="0" fillId="0" borderId="0" xfId="0" applyAlignment="1">
      <alignment horizontal="center"/>
    </xf>
    <xf numFmtId="0" fontId="4" fillId="12" borderId="19" xfId="0" applyFont="1" applyFill="1" applyBorder="1" applyAlignment="1">
      <alignment horizontal="left" vertical="top" wrapText="1"/>
    </xf>
    <xf numFmtId="0" fontId="4" fillId="12" borderId="26" xfId="0" applyFont="1" applyFill="1" applyBorder="1" applyAlignment="1">
      <alignment horizontal="left" vertical="top" wrapText="1"/>
    </xf>
    <xf numFmtId="0" fontId="4" fillId="12" borderId="20" xfId="0" applyFont="1" applyFill="1" applyBorder="1" applyAlignment="1">
      <alignment horizontal="left" vertical="top" wrapText="1"/>
    </xf>
    <xf numFmtId="0" fontId="4" fillId="12" borderId="1" xfId="0" applyFont="1" applyFill="1" applyBorder="1" applyAlignment="1">
      <alignment horizontal="left" vertical="top" wrapText="1"/>
    </xf>
    <xf numFmtId="0" fontId="4" fillId="12" borderId="0" xfId="0" applyFont="1" applyFill="1" applyBorder="1" applyAlignment="1">
      <alignment horizontal="left" vertical="top" wrapText="1"/>
    </xf>
    <xf numFmtId="0" fontId="4" fillId="12" borderId="2" xfId="0" applyFont="1" applyFill="1" applyBorder="1" applyAlignment="1">
      <alignment horizontal="left" vertical="top" wrapText="1"/>
    </xf>
    <xf numFmtId="0" fontId="4" fillId="12" borderId="3" xfId="0" applyFont="1" applyFill="1" applyBorder="1" applyAlignment="1">
      <alignment horizontal="left" vertical="top" wrapText="1"/>
    </xf>
    <xf numFmtId="0" fontId="4" fillId="12" borderId="4" xfId="0" applyFont="1" applyFill="1" applyBorder="1" applyAlignment="1">
      <alignment horizontal="left" vertical="top" wrapText="1"/>
    </xf>
    <xf numFmtId="0" fontId="4" fillId="12" borderId="5" xfId="0" applyFont="1" applyFill="1" applyBorder="1" applyAlignment="1">
      <alignment horizontal="left" vertical="top" wrapText="1"/>
    </xf>
    <xf numFmtId="0" fontId="31" fillId="0" borderId="0" xfId="0" applyFont="1" applyAlignment="1">
      <alignment horizontal="center"/>
    </xf>
  </cellXfs>
  <cellStyles count="14">
    <cellStyle name="Comma" xfId="1" builtinId="3"/>
    <cellStyle name="Comma 2" xfId="6"/>
    <cellStyle name="Hyperlink" xfId="2" builtinId="8"/>
    <cellStyle name="Hyperlink 2" xfId="10"/>
    <cellStyle name="Normal" xfId="0" builtinId="0"/>
    <cellStyle name="Normal 2" xfId="4"/>
    <cellStyle name="Normal 2 2" xfId="5"/>
    <cellStyle name="Normal 2 3" xfId="11"/>
    <cellStyle name="Normal 3" xfId="8"/>
    <cellStyle name="Normal 3 2" xfId="12"/>
    <cellStyle name="Percent" xfId="3" builtinId="5"/>
    <cellStyle name="Percent 2" xfId="7"/>
    <cellStyle name="Percent 3" xfId="9"/>
    <cellStyle name="Percent 3 2" xfId="13"/>
  </cellStyles>
  <dxfs count="0"/>
  <tableStyles count="0" defaultTableStyle="TableStyleMedium9" defaultPivotStyle="PivotStyleLight16"/>
  <colors>
    <mruColors>
      <color rgb="FFA5D773"/>
      <color rgb="FFFFFFA7"/>
      <color rgb="FFFFFF81"/>
      <color rgb="FF99CC00"/>
      <color rgb="FFFFFF99"/>
      <color rgb="FFFFFFC1"/>
      <color rgb="FFFFFF66"/>
      <color rgb="FFFFFFCD"/>
      <color rgb="FFFFFF37"/>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9.5372704450118986E-2"/>
          <c:y val="0.25824358504735406"/>
          <c:w val="0.85865157847060658"/>
          <c:h val="0.67361666181802038"/>
        </c:manualLayout>
      </c:layout>
      <c:scatterChart>
        <c:scatterStyle val="smoothMarker"/>
        <c:varyColors val="0"/>
        <c:ser>
          <c:idx val="0"/>
          <c:order val="0"/>
          <c:tx>
            <c:v>Acceleration (m/sec^2)</c:v>
          </c:tx>
          <c:marker>
            <c:symbol val="none"/>
          </c:marker>
          <c:xVal>
            <c:numRef>
              <c:f>VesselCharacteristics!$B$95:$B$100</c:f>
              <c:numCache>
                <c:formatCode>General</c:formatCode>
                <c:ptCount val="6"/>
                <c:pt idx="0">
                  <c:v>0</c:v>
                </c:pt>
                <c:pt idx="1">
                  <c:v>1</c:v>
                </c:pt>
                <c:pt idx="2">
                  <c:v>2</c:v>
                </c:pt>
                <c:pt idx="3">
                  <c:v>3</c:v>
                </c:pt>
                <c:pt idx="4">
                  <c:v>4</c:v>
                </c:pt>
                <c:pt idx="5">
                  <c:v>5</c:v>
                </c:pt>
              </c:numCache>
            </c:numRef>
          </c:xVal>
          <c:yVal>
            <c:numRef>
              <c:f>VesselCharacteristics!$R$95:$R$100</c:f>
              <c:numCache>
                <c:formatCode>#,##0.0000</c:formatCode>
                <c:ptCount val="6"/>
                <c:pt idx="1">
                  <c:v>-9.8065999999999995</c:v>
                </c:pt>
                <c:pt idx="2">
                  <c:v>-9.8065999999999995</c:v>
                </c:pt>
                <c:pt idx="3">
                  <c:v>-9.8066301548370358</c:v>
                </c:pt>
                <c:pt idx="4">
                  <c:v>-9.8066603098131591</c:v>
                </c:pt>
                <c:pt idx="5">
                  <c:v>-9.8066904650210986</c:v>
                </c:pt>
              </c:numCache>
            </c:numRef>
          </c:yVal>
          <c:smooth val="1"/>
        </c:ser>
        <c:dLbls>
          <c:showLegendKey val="0"/>
          <c:showVal val="0"/>
          <c:showCatName val="0"/>
          <c:showSerName val="0"/>
          <c:showPercent val="0"/>
          <c:showBubbleSize val="0"/>
        </c:dLbls>
        <c:axId val="336939264"/>
        <c:axId val="337475072"/>
      </c:scatterChart>
      <c:valAx>
        <c:axId val="33693926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7475072"/>
        <c:crosses val="autoZero"/>
        <c:crossBetween val="midCat"/>
      </c:valAx>
      <c:valAx>
        <c:axId val="337475072"/>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6939264"/>
        <c:crosses val="autoZero"/>
        <c:crossBetween val="midCat"/>
      </c:valAx>
    </c:plotArea>
    <c:legend>
      <c:legendPos val="r"/>
      <c:layout>
        <c:manualLayout>
          <c:xMode val="edge"/>
          <c:yMode val="edge"/>
          <c:x val="0.44461533429816602"/>
          <c:y val="0.22668166479190102"/>
          <c:w val="0.50362302842985751"/>
          <c:h val="0.18513783603136566"/>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Propellent Mass Budget Analysis for Change in Velocity Increment</a:t>
            </a:r>
          </a:p>
        </c:rich>
      </c:tx>
      <c:overlay val="0"/>
    </c:title>
    <c:autoTitleDeleted val="0"/>
    <c:plotArea>
      <c:layout>
        <c:manualLayout>
          <c:layoutTarget val="inner"/>
          <c:xMode val="edge"/>
          <c:yMode val="edge"/>
          <c:x val="9.5372704450118945E-2"/>
          <c:y val="0.25824358504735406"/>
          <c:w val="0.85865157847060691"/>
          <c:h val="0.6736166618180206"/>
        </c:manualLayout>
      </c:layout>
      <c:scatterChart>
        <c:scatterStyle val="smoothMarker"/>
        <c:varyColors val="0"/>
        <c:ser>
          <c:idx val="0"/>
          <c:order val="0"/>
          <c:tx>
            <c:v>Propellent Mass (kg)</c:v>
          </c:tx>
          <c:spPr>
            <a:ln>
              <a:solidFill>
                <a:schemeClr val="accent6">
                  <a:lumMod val="75000"/>
                </a:schemeClr>
              </a:solidFill>
            </a:ln>
          </c:spPr>
          <c:marker>
            <c:symbol val="none"/>
          </c:marker>
          <c:xVal>
            <c:numRef>
              <c:f>VesselCharacteristics!$AC$5:$AC$80</c:f>
              <c:numCache>
                <c:formatCode>General</c:formatCode>
                <c:ptCount val="76"/>
                <c:pt idx="0">
                  <c:v>250</c:v>
                </c:pt>
                <c:pt idx="1">
                  <c:v>500</c:v>
                </c:pt>
                <c:pt idx="2">
                  <c:v>750</c:v>
                </c:pt>
                <c:pt idx="3">
                  <c:v>1000</c:v>
                </c:pt>
                <c:pt idx="4">
                  <c:v>1250</c:v>
                </c:pt>
                <c:pt idx="5">
                  <c:v>1500</c:v>
                </c:pt>
                <c:pt idx="6">
                  <c:v>1750</c:v>
                </c:pt>
                <c:pt idx="7">
                  <c:v>2000</c:v>
                </c:pt>
                <c:pt idx="8">
                  <c:v>2250</c:v>
                </c:pt>
                <c:pt idx="9">
                  <c:v>2500</c:v>
                </c:pt>
                <c:pt idx="10">
                  <c:v>2750</c:v>
                </c:pt>
                <c:pt idx="11">
                  <c:v>3000</c:v>
                </c:pt>
                <c:pt idx="12">
                  <c:v>3250</c:v>
                </c:pt>
                <c:pt idx="13">
                  <c:v>3500</c:v>
                </c:pt>
                <c:pt idx="14">
                  <c:v>3750</c:v>
                </c:pt>
                <c:pt idx="15">
                  <c:v>4000</c:v>
                </c:pt>
                <c:pt idx="16">
                  <c:v>4250</c:v>
                </c:pt>
                <c:pt idx="17">
                  <c:v>4500</c:v>
                </c:pt>
                <c:pt idx="18">
                  <c:v>4750</c:v>
                </c:pt>
                <c:pt idx="19">
                  <c:v>5000</c:v>
                </c:pt>
                <c:pt idx="20">
                  <c:v>5250</c:v>
                </c:pt>
                <c:pt idx="21">
                  <c:v>5500</c:v>
                </c:pt>
                <c:pt idx="43">
                  <c:v>5750</c:v>
                </c:pt>
                <c:pt idx="53">
                  <c:v>6000</c:v>
                </c:pt>
                <c:pt idx="60">
                  <c:v>6250</c:v>
                </c:pt>
                <c:pt idx="61">
                  <c:v>6500</c:v>
                </c:pt>
                <c:pt idx="62">
                  <c:v>6750</c:v>
                </c:pt>
                <c:pt idx="63">
                  <c:v>7000</c:v>
                </c:pt>
                <c:pt idx="64">
                  <c:v>7250</c:v>
                </c:pt>
                <c:pt idx="65">
                  <c:v>7500</c:v>
                </c:pt>
                <c:pt idx="66">
                  <c:v>7750</c:v>
                </c:pt>
                <c:pt idx="67">
                  <c:v>8000</c:v>
                </c:pt>
                <c:pt idx="68">
                  <c:v>8250</c:v>
                </c:pt>
                <c:pt idx="69">
                  <c:v>8500</c:v>
                </c:pt>
                <c:pt idx="70">
                  <c:v>8750</c:v>
                </c:pt>
                <c:pt idx="71">
                  <c:v>9000</c:v>
                </c:pt>
                <c:pt idx="72">
                  <c:v>9250</c:v>
                </c:pt>
                <c:pt idx="73">
                  <c:v>9500</c:v>
                </c:pt>
                <c:pt idx="74">
                  <c:v>9750</c:v>
                </c:pt>
                <c:pt idx="75">
                  <c:v>10000</c:v>
                </c:pt>
              </c:numCache>
            </c:numRef>
          </c:xVal>
          <c:yVal>
            <c:numRef>
              <c:f>VesselCharacteristics!$AD$5:$AD$80</c:f>
              <c:numCache>
                <c:formatCode>#,##0.00</c:formatCode>
                <c:ptCount val="76"/>
                <c:pt idx="0">
                  <c:v>1.0371767532309999</c:v>
                </c:pt>
                <c:pt idx="1">
                  <c:v>2.2088204586423483</c:v>
                </c:pt>
                <c:pt idx="2">
                  <c:v>3.5323643658439572</c:v>
                </c:pt>
                <c:pt idx="3">
                  <c:v>5.0275018945993217</c:v>
                </c:pt>
                <c:pt idx="4">
                  <c:v>6.7164796593182228</c:v>
                </c:pt>
                <c:pt idx="5">
                  <c:v>8.6244284833234381</c:v>
                </c:pt>
                <c:pt idx="6">
                  <c:v>10.779737328155232</c:v>
                </c:pt>
                <c:pt idx="7">
                  <c:v>13.214475701723611</c:v>
                </c:pt>
                <c:pt idx="8">
                  <c:v>15.964870830450067</c:v>
                </c:pt>
                <c:pt idx="9">
                  <c:v>19.071846695390875</c:v>
                </c:pt>
                <c:pt idx="10">
                  <c:v>22.581632952827487</c:v>
                </c:pt>
                <c:pt idx="11">
                  <c:v>26.546452799641955</c:v>
                </c:pt>
                <c:pt idx="12">
                  <c:v>31.02530001843953</c:v>
                </c:pt>
                <c:pt idx="13">
                  <c:v>36.084816764313381</c:v>
                </c:pt>
                <c:pt idx="14">
                  <c:v>41.800285154112636</c:v>
                </c:pt>
                <c:pt idx="15">
                  <c:v>48.256747412377692</c:v>
                </c:pt>
                <c:pt idx="16">
                  <c:v>55.550271240940994</c:v>
                </c:pt>
                <c:pt idx="17">
                  <c:v>63.789379240019557</c:v>
                </c:pt>
                <c:pt idx="18">
                  <c:v>73.096663649598597</c:v>
                </c:pt>
                <c:pt idx="19">
                  <c:v>83.610610437343226</c:v>
                </c:pt>
                <c:pt idx="20">
                  <c:v>95.487659874207409</c:v>
                </c:pt>
                <c:pt idx="21">
                  <c:v>108.90453425768301</c:v>
                </c:pt>
                <c:pt idx="43">
                  <c:v>124.06086741760373</c:v>
                </c:pt>
                <c:pt idx="53">
                  <c:v>141.18217512973618</c:v>
                </c:pt>
                <c:pt idx="60">
                  <c:v>160.52321063486093</c:v>
                </c:pt>
                <c:pt idx="61">
                  <c:v>182.371755191152</c:v>
                </c:pt>
                <c:pt idx="62">
                  <c:v>207.05290006065772</c:v>
                </c:pt>
                <c:pt idx="63">
                  <c:v>234.93388364288575</c:v>
                </c:pt>
                <c:pt idx="64">
                  <c:v>266.42955572870142</c:v>
                </c:pt>
                <c:pt idx="65">
                  <c:v>302.00855017886641</c:v>
                </c:pt>
                <c:pt idx="66">
                  <c:v>342.20025787241218</c:v>
                </c:pt>
                <c:pt idx="67">
                  <c:v>387.60270367750803</c:v>
                </c:pt>
                <c:pt idx="68">
                  <c:v>438.89144464871333</c:v>
                </c:pt>
                <c:pt idx="69">
                  <c:v>496.82962184964646</c:v>
                </c:pt>
                <c:pt idx="70">
                  <c:v>562.27931536525239</c:v>
                </c:pt>
                <c:pt idx="71">
                  <c:v>636.21437145841878</c:v>
                </c:pt>
                <c:pt idx="72">
                  <c:v>719.73489273016742</c:v>
                </c:pt>
                <c:pt idx="73">
                  <c:v>814.08360688701578</c:v>
                </c:pt>
                <c:pt idx="74">
                  <c:v>920.66435767145413</c:v>
                </c:pt>
                <c:pt idx="75">
                  <c:v>1041.0629930878324</c:v>
                </c:pt>
              </c:numCache>
            </c:numRef>
          </c:yVal>
          <c:smooth val="1"/>
        </c:ser>
        <c:dLbls>
          <c:showLegendKey val="0"/>
          <c:showVal val="0"/>
          <c:showCatName val="0"/>
          <c:showSerName val="0"/>
          <c:showPercent val="0"/>
          <c:showBubbleSize val="0"/>
        </c:dLbls>
        <c:axId val="338560512"/>
        <c:axId val="338562048"/>
      </c:scatterChart>
      <c:valAx>
        <c:axId val="3385605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8562048"/>
        <c:crosses val="autoZero"/>
        <c:crossBetween val="midCat"/>
      </c:valAx>
      <c:valAx>
        <c:axId val="338562048"/>
        <c:scaling>
          <c:orientation val="minMax"/>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8560512"/>
        <c:crosses val="autoZero"/>
        <c:crossBetween val="midCat"/>
      </c:valAx>
    </c:plotArea>
    <c:legend>
      <c:legendPos val="r"/>
      <c:layout>
        <c:manualLayout>
          <c:xMode val="edge"/>
          <c:yMode val="edge"/>
          <c:x val="0.1330281998681522"/>
          <c:y val="0.25042043657586277"/>
          <c:w val="0.32705705078596847"/>
          <c:h val="8.6225852203257181E-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VesselCharacteristics!$AK$66:$AK$76</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yVal>
          <c:smooth val="1"/>
        </c:ser>
        <c:ser>
          <c:idx val="1"/>
          <c:order val="1"/>
          <c:marker>
            <c:symbol val="none"/>
          </c:marker>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VesselCharacteristics!$AL$66:$AL$76</c:f>
              <c:numCache>
                <c:formatCode>General</c:formatCode>
                <c:ptCount val="11"/>
                <c:pt idx="0">
                  <c:v>0</c:v>
                </c:pt>
                <c:pt idx="1">
                  <c:v>18</c:v>
                </c:pt>
                <c:pt idx="2">
                  <c:v>36</c:v>
                </c:pt>
                <c:pt idx="3">
                  <c:v>54</c:v>
                </c:pt>
                <c:pt idx="4">
                  <c:v>72</c:v>
                </c:pt>
                <c:pt idx="5">
                  <c:v>90</c:v>
                </c:pt>
                <c:pt idx="6">
                  <c:v>72</c:v>
                </c:pt>
                <c:pt idx="7">
                  <c:v>54</c:v>
                </c:pt>
                <c:pt idx="8">
                  <c:v>36</c:v>
                </c:pt>
                <c:pt idx="9">
                  <c:v>18</c:v>
                </c:pt>
                <c:pt idx="10">
                  <c:v>0</c:v>
                </c:pt>
              </c:numCache>
            </c:numRef>
          </c:yVal>
          <c:smooth val="1"/>
        </c:ser>
        <c:ser>
          <c:idx val="2"/>
          <c:order val="2"/>
          <c:marker>
            <c:symbol val="none"/>
          </c:marker>
          <c:xVal>
            <c:numRef>
              <c:f>VesselCharacteristics!$AJ$66:$AJ$76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VesselCharacteristics!$AM$66:$AM$76</c:f>
              <c:numCache>
                <c:formatCode>General</c:formatCode>
                <c:ptCount val="11"/>
                <c:pt idx="0">
                  <c:v>0</c:v>
                </c:pt>
                <c:pt idx="1">
                  <c:v>-3.6</c:v>
                </c:pt>
                <c:pt idx="2">
                  <c:v>-14.4</c:v>
                </c:pt>
                <c:pt idx="3">
                  <c:v>-32.4</c:v>
                </c:pt>
                <c:pt idx="4">
                  <c:v>-57.6</c:v>
                </c:pt>
                <c:pt idx="5">
                  <c:v>-90</c:v>
                </c:pt>
                <c:pt idx="6">
                  <c:v>-129.6</c:v>
                </c:pt>
                <c:pt idx="7">
                  <c:v>-176.4</c:v>
                </c:pt>
                <c:pt idx="8">
                  <c:v>-230.4</c:v>
                </c:pt>
                <c:pt idx="9">
                  <c:v>-291.60000000000002</c:v>
                </c:pt>
                <c:pt idx="10">
                  <c:v>-360</c:v>
                </c:pt>
              </c:numCache>
            </c:numRef>
          </c:yVal>
          <c:smooth val="1"/>
        </c:ser>
        <c:dLbls>
          <c:showLegendKey val="0"/>
          <c:showVal val="0"/>
          <c:showCatName val="0"/>
          <c:showSerName val="0"/>
          <c:showPercent val="0"/>
          <c:showBubbleSize val="0"/>
        </c:dLbls>
        <c:axId val="338605184"/>
        <c:axId val="338606720"/>
      </c:scatterChart>
      <c:valAx>
        <c:axId val="3386051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8606720"/>
        <c:crosses val="autoZero"/>
        <c:crossBetween val="midCat"/>
      </c:valAx>
      <c:valAx>
        <c:axId val="338606720"/>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8605184"/>
        <c:crosses val="autoZero"/>
        <c:crossBetween val="midCat"/>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v>Powered Flight Trajectory (Degrees)</c:v>
          </c:tx>
          <c:marker>
            <c:symbol val="none"/>
          </c:marker>
          <c:xVal>
            <c:numRef>
              <c:f>VesselCharacteristics!$B$95:$B$100</c:f>
              <c:numCache>
                <c:formatCode>General</c:formatCode>
                <c:ptCount val="6"/>
                <c:pt idx="0">
                  <c:v>0</c:v>
                </c:pt>
                <c:pt idx="1">
                  <c:v>1</c:v>
                </c:pt>
                <c:pt idx="2">
                  <c:v>2</c:v>
                </c:pt>
                <c:pt idx="3">
                  <c:v>3</c:v>
                </c:pt>
                <c:pt idx="4">
                  <c:v>4</c:v>
                </c:pt>
                <c:pt idx="5">
                  <c:v>5</c:v>
                </c:pt>
              </c:numCache>
            </c:numRef>
          </c:xVal>
          <c:yVal>
            <c:numRef>
              <c:f>VesselCharacteristics!$J$95:$J$100</c:f>
              <c:numCache>
                <c:formatCode>0.00</c:formatCode>
                <c:ptCount val="6"/>
                <c:pt idx="0">
                  <c:v>0</c:v>
                </c:pt>
                <c:pt idx="1">
                  <c:v>90</c:v>
                </c:pt>
                <c:pt idx="2">
                  <c:v>0</c:v>
                </c:pt>
                <c:pt idx="3">
                  <c:v>-270</c:v>
                </c:pt>
                <c:pt idx="4">
                  <c:v>-720</c:v>
                </c:pt>
                <c:pt idx="5">
                  <c:v>-1350</c:v>
                </c:pt>
              </c:numCache>
            </c:numRef>
          </c:yVal>
          <c:smooth val="1"/>
        </c:ser>
        <c:dLbls>
          <c:showLegendKey val="0"/>
          <c:showVal val="0"/>
          <c:showCatName val="0"/>
          <c:showSerName val="0"/>
          <c:showPercent val="0"/>
          <c:showBubbleSize val="0"/>
        </c:dLbls>
        <c:axId val="339543936"/>
        <c:axId val="339545472"/>
      </c:scatterChart>
      <c:valAx>
        <c:axId val="339543936"/>
        <c:scaling>
          <c:orientation val="minMax"/>
          <c:max val="55"/>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9545472"/>
        <c:crosses val="autoZero"/>
        <c:crossBetween val="midCat"/>
      </c:valAx>
      <c:valAx>
        <c:axId val="339545472"/>
        <c:scaling>
          <c:orientation val="minMax"/>
          <c:min val="0"/>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9543936"/>
        <c:crosses val="autoZero"/>
        <c:crossBetween val="midCat"/>
      </c:valAx>
    </c:plotArea>
    <c:legend>
      <c:legendPos val="r"/>
      <c:layout>
        <c:manualLayout>
          <c:xMode val="edge"/>
          <c:yMode val="edge"/>
          <c:x val="0.6558887139107612"/>
          <c:y val="0.18187622306928949"/>
          <c:w val="0.30026267716535437"/>
          <c:h val="0.13989965035289317"/>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2D Cross Sectional Chamber</a:t>
            </a:r>
          </a:p>
        </c:rich>
      </c:tx>
      <c:layout>
        <c:manualLayout>
          <c:xMode val="edge"/>
          <c:yMode val="edge"/>
          <c:x val="0.31030455852316952"/>
          <c:y val="4.3664733433924303E-2"/>
        </c:manualLayout>
      </c:layout>
      <c:overlay val="1"/>
    </c:title>
    <c:autoTitleDeleted val="0"/>
    <c:plotArea>
      <c:layout/>
      <c:scatterChart>
        <c:scatterStyle val="lineMarker"/>
        <c:varyColors val="0"/>
        <c:ser>
          <c:idx val="0"/>
          <c:order val="0"/>
          <c:tx>
            <c:strRef>
              <c:f>VesselCharacteristics!$AH$3</c:f>
              <c:strCache>
                <c:ptCount val="1"/>
                <c:pt idx="0">
                  <c:v>y-top</c:v>
                </c:pt>
              </c:strCache>
            </c:strRef>
          </c:tx>
          <c:spPr>
            <a:ln>
              <a:solidFill>
                <a:schemeClr val="tx2">
                  <a:lumMod val="60000"/>
                  <a:lumOff val="40000"/>
                </a:schemeClr>
              </a:solidFill>
            </a:ln>
          </c:spPr>
          <c:marker>
            <c:symbol val="circle"/>
            <c:size val="7"/>
            <c:spPr>
              <a:solidFill>
                <a:schemeClr val="accent1">
                  <a:lumMod val="50000"/>
                </a:schemeClr>
              </a:solidFill>
            </c:spPr>
          </c:marker>
          <c:xVal>
            <c:numRef>
              <c:f>VesselCharacteristics!$AG$4:$AG$8</c:f>
              <c:numCache>
                <c:formatCode>#,##0.00000</c:formatCode>
                <c:ptCount val="5"/>
                <c:pt idx="0" formatCode="General">
                  <c:v>0</c:v>
                </c:pt>
                <c:pt idx="1">
                  <c:v>3.9999999959200001</c:v>
                </c:pt>
                <c:pt idx="2">
                  <c:v>4.2424326089649789</c:v>
                </c:pt>
                <c:pt idx="3">
                  <c:v>4.2736826089331039</c:v>
                </c:pt>
                <c:pt idx="4">
                  <c:v>4.8135744731061214</c:v>
                </c:pt>
              </c:numCache>
            </c:numRef>
          </c:xVal>
          <c:yVal>
            <c:numRef>
              <c:f>VesselCharacteristics!$AH$4:$AH$8</c:f>
              <c:numCache>
                <c:formatCode>#,##0.00000</c:formatCode>
                <c:ptCount val="5"/>
                <c:pt idx="0">
                  <c:v>1.5777481433427645</c:v>
                </c:pt>
                <c:pt idx="1">
                  <c:v>1.5777481433427645</c:v>
                </c:pt>
                <c:pt idx="2" formatCode="General">
                  <c:v>1.1578425401371761</c:v>
                </c:pt>
                <c:pt idx="3" formatCode="General">
                  <c:v>1.1578425401371761</c:v>
                </c:pt>
                <c:pt idx="4" formatCode="General">
                  <c:v>1.3025061291424695</c:v>
                </c:pt>
              </c:numCache>
            </c:numRef>
          </c:yVal>
          <c:smooth val="0"/>
        </c:ser>
        <c:ser>
          <c:idx val="1"/>
          <c:order val="1"/>
          <c:tx>
            <c:strRef>
              <c:f>VesselCharacteristics!$AI$3</c:f>
              <c:strCache>
                <c:ptCount val="1"/>
                <c:pt idx="0">
                  <c:v>y-bottom</c:v>
                </c:pt>
              </c:strCache>
            </c:strRef>
          </c:tx>
          <c:spPr>
            <a:ln>
              <a:solidFill>
                <a:schemeClr val="tx2">
                  <a:lumMod val="60000"/>
                  <a:lumOff val="40000"/>
                </a:schemeClr>
              </a:solidFill>
            </a:ln>
          </c:spPr>
          <c:marker>
            <c:symbol val="circle"/>
            <c:size val="7"/>
            <c:spPr>
              <a:solidFill>
                <a:schemeClr val="accent1">
                  <a:lumMod val="50000"/>
                </a:schemeClr>
              </a:solidFill>
            </c:spPr>
          </c:marker>
          <c:xVal>
            <c:numRef>
              <c:f>VesselCharacteristics!$AG$4:$AG$8</c:f>
              <c:numCache>
                <c:formatCode>#,##0.00000</c:formatCode>
                <c:ptCount val="5"/>
                <c:pt idx="0" formatCode="General">
                  <c:v>0</c:v>
                </c:pt>
                <c:pt idx="1">
                  <c:v>3.9999999959200001</c:v>
                </c:pt>
                <c:pt idx="2">
                  <c:v>4.2424326089649789</c:v>
                </c:pt>
                <c:pt idx="3">
                  <c:v>4.2736826089331039</c:v>
                </c:pt>
                <c:pt idx="4">
                  <c:v>4.8135744731061214</c:v>
                </c:pt>
              </c:numCache>
            </c:numRef>
          </c:xVal>
          <c:yVal>
            <c:numRef>
              <c:f>VesselCharacteristics!$AI$4:$AI$8</c:f>
              <c:numCache>
                <c:formatCode>General</c:formatCode>
                <c:ptCount val="5"/>
                <c:pt idx="0" formatCode="#,##0.000">
                  <c:v>0.15855290845364381</c:v>
                </c:pt>
                <c:pt idx="1">
                  <c:v>0.15855290845364381</c:v>
                </c:pt>
                <c:pt idx="2">
                  <c:v>0.57845851165923212</c:v>
                </c:pt>
                <c:pt idx="3">
                  <c:v>0.57845851165923212</c:v>
                </c:pt>
                <c:pt idx="4">
                  <c:v>0.43379492265393865</c:v>
                </c:pt>
              </c:numCache>
            </c:numRef>
          </c:yVal>
          <c:smooth val="0"/>
        </c:ser>
        <c:ser>
          <c:idx val="2"/>
          <c:order val="2"/>
          <c:tx>
            <c:strRef>
              <c:f>VesselCharacteristics!$AJ$3</c:f>
              <c:strCache>
                <c:ptCount val="1"/>
                <c:pt idx="0">
                  <c:v>y-top-outer</c:v>
                </c:pt>
              </c:strCache>
            </c:strRef>
          </c:tx>
          <c:spPr>
            <a:ln>
              <a:solidFill>
                <a:schemeClr val="tx1">
                  <a:lumMod val="95000"/>
                  <a:lumOff val="5000"/>
                </a:schemeClr>
              </a:solidFill>
              <a:prstDash val="sysDash"/>
            </a:ln>
          </c:spPr>
          <c:marker>
            <c:symbol val="diamond"/>
            <c:size val="7"/>
            <c:spPr>
              <a:solidFill>
                <a:schemeClr val="tx1"/>
              </a:solidFill>
            </c:spPr>
          </c:marker>
          <c:xVal>
            <c:numRef>
              <c:f>(VesselCharacteristics!$AG$4,VesselCharacteristics!$AG$8)</c:f>
              <c:numCache>
                <c:formatCode>#,##0.00000</c:formatCode>
                <c:ptCount val="2"/>
                <c:pt idx="0" formatCode="General">
                  <c:v>0</c:v>
                </c:pt>
                <c:pt idx="1">
                  <c:v>4.8135744731061214</c:v>
                </c:pt>
              </c:numCache>
            </c:numRef>
          </c:xVal>
          <c:yVal>
            <c:numRef>
              <c:f>(VesselCharacteristics!$AJ$4,VesselCharacteristics!$AJ$8)</c:f>
              <c:numCache>
                <c:formatCode>#,##0.00000</c:formatCode>
                <c:ptCount val="2"/>
                <c:pt idx="0">
                  <c:v>1.7363010517964084</c:v>
                </c:pt>
                <c:pt idx="1">
                  <c:v>1.7363010517964084</c:v>
                </c:pt>
              </c:numCache>
            </c:numRef>
          </c:yVal>
          <c:smooth val="0"/>
        </c:ser>
        <c:ser>
          <c:idx val="3"/>
          <c:order val="3"/>
          <c:tx>
            <c:strRef>
              <c:f>VesselCharacteristics!$AL$3</c:f>
              <c:strCache>
                <c:ptCount val="1"/>
                <c:pt idx="0">
                  <c:v>y-tube-top-upper</c:v>
                </c:pt>
              </c:strCache>
            </c:strRef>
          </c:tx>
          <c:spPr>
            <a:ln>
              <a:solidFill>
                <a:srgbClr val="FFC000"/>
              </a:solidFill>
            </a:ln>
          </c:spPr>
          <c:marker>
            <c:symbol val="diamond"/>
            <c:size val="7"/>
            <c:spPr>
              <a:solidFill>
                <a:srgbClr val="FFC000"/>
              </a:solidFill>
              <a:ln>
                <a:solidFill>
                  <a:srgbClr val="FFC000"/>
                </a:solidFill>
              </a:ln>
            </c:spPr>
          </c:marker>
          <c:xVal>
            <c:numRef>
              <c:f>VesselCharacteristics!$AG$4:$AG$8</c:f>
              <c:numCache>
                <c:formatCode>#,##0.00000</c:formatCode>
                <c:ptCount val="5"/>
                <c:pt idx="0" formatCode="General">
                  <c:v>0</c:v>
                </c:pt>
                <c:pt idx="1">
                  <c:v>3.9999999959200001</c:v>
                </c:pt>
                <c:pt idx="2">
                  <c:v>4.2424326089649789</c:v>
                </c:pt>
                <c:pt idx="3">
                  <c:v>4.2736826089331039</c:v>
                </c:pt>
                <c:pt idx="4">
                  <c:v>4.8135744731061214</c:v>
                </c:pt>
              </c:numCache>
            </c:numRef>
          </c:xVal>
          <c:yVal>
            <c:numRef>
              <c:f>VesselCharacteristics!$AL$4:$AL$8</c:f>
              <c:numCache>
                <c:formatCode>#,##0.00000</c:formatCode>
                <c:ptCount val="5"/>
                <c:pt idx="0">
                  <c:v>1.6269607417679612</c:v>
                </c:pt>
                <c:pt idx="1">
                  <c:v>1.6269607417679612</c:v>
                </c:pt>
                <c:pt idx="2">
                  <c:v>1.2070551385623729</c:v>
                </c:pt>
                <c:pt idx="3">
                  <c:v>1.2070551385623729</c:v>
                </c:pt>
                <c:pt idx="4">
                  <c:v>1.3517187275676663</c:v>
                </c:pt>
              </c:numCache>
            </c:numRef>
          </c:yVal>
          <c:smooth val="0"/>
        </c:ser>
        <c:ser>
          <c:idx val="4"/>
          <c:order val="4"/>
          <c:tx>
            <c:strRef>
              <c:f>VesselCharacteristics!$AM$3</c:f>
              <c:strCache>
                <c:ptCount val="1"/>
                <c:pt idx="0">
                  <c:v>y-tube-top-lower</c:v>
                </c:pt>
              </c:strCache>
            </c:strRef>
          </c:tx>
          <c:spPr>
            <a:ln>
              <a:solidFill>
                <a:srgbClr val="FFC000"/>
              </a:solidFill>
            </a:ln>
          </c:spPr>
          <c:marker>
            <c:symbol val="diamond"/>
            <c:size val="7"/>
            <c:spPr>
              <a:solidFill>
                <a:srgbClr val="FFC000"/>
              </a:solidFill>
              <a:ln>
                <a:solidFill>
                  <a:srgbClr val="FFC000"/>
                </a:solidFill>
              </a:ln>
            </c:spPr>
          </c:marker>
          <c:xVal>
            <c:numRef>
              <c:f>VesselCharacteristics!$AG$4:$AG$8</c:f>
              <c:numCache>
                <c:formatCode>#,##0.00000</c:formatCode>
                <c:ptCount val="5"/>
                <c:pt idx="0" formatCode="General">
                  <c:v>0</c:v>
                </c:pt>
                <c:pt idx="1">
                  <c:v>3.9999999959200001</c:v>
                </c:pt>
                <c:pt idx="2">
                  <c:v>4.2424326089649789</c:v>
                </c:pt>
                <c:pt idx="3">
                  <c:v>4.2736826089331039</c:v>
                </c:pt>
                <c:pt idx="4">
                  <c:v>4.8135744731061214</c:v>
                </c:pt>
              </c:numCache>
            </c:numRef>
          </c:xVal>
          <c:yVal>
            <c:numRef>
              <c:f>VesselCharacteristics!$AM$4:$AM$8</c:f>
              <c:numCache>
                <c:formatCode>#,##0.00000</c:formatCode>
                <c:ptCount val="5"/>
                <c:pt idx="0">
                  <c:v>1.6378758550464083</c:v>
                </c:pt>
                <c:pt idx="1">
                  <c:v>1.6378758550464083</c:v>
                </c:pt>
                <c:pt idx="2">
                  <c:v>1.21797025184082</c:v>
                </c:pt>
                <c:pt idx="3">
                  <c:v>1.21797025184082</c:v>
                </c:pt>
                <c:pt idx="4">
                  <c:v>1.3626338408461134</c:v>
                </c:pt>
              </c:numCache>
            </c:numRef>
          </c:yVal>
          <c:smooth val="0"/>
        </c:ser>
        <c:ser>
          <c:idx val="5"/>
          <c:order val="5"/>
          <c:tx>
            <c:strRef>
              <c:f>VesselCharacteristics!$AN$3</c:f>
              <c:strCache>
                <c:ptCount val="1"/>
                <c:pt idx="0">
                  <c:v>y-tube-bottom-upper</c:v>
                </c:pt>
              </c:strCache>
            </c:strRef>
          </c:tx>
          <c:spPr>
            <a:ln>
              <a:solidFill>
                <a:srgbClr val="FFC000"/>
              </a:solidFill>
            </a:ln>
          </c:spPr>
          <c:marker>
            <c:symbol val="diamond"/>
            <c:size val="7"/>
            <c:spPr>
              <a:solidFill>
                <a:srgbClr val="FFC000"/>
              </a:solidFill>
              <a:ln>
                <a:solidFill>
                  <a:srgbClr val="FFC000"/>
                </a:solidFill>
              </a:ln>
            </c:spPr>
          </c:marker>
          <c:xVal>
            <c:numRef>
              <c:f>VesselCharacteristics!$AG$4:$AG$8</c:f>
              <c:numCache>
                <c:formatCode>#,##0.00000</c:formatCode>
                <c:ptCount val="5"/>
                <c:pt idx="0" formatCode="General">
                  <c:v>0</c:v>
                </c:pt>
                <c:pt idx="1">
                  <c:v>3.9999999959200001</c:v>
                </c:pt>
                <c:pt idx="2">
                  <c:v>4.2424326089649789</c:v>
                </c:pt>
                <c:pt idx="3">
                  <c:v>4.2736826089331039</c:v>
                </c:pt>
                <c:pt idx="4">
                  <c:v>4.8135744731061214</c:v>
                </c:pt>
              </c:numCache>
            </c:numRef>
          </c:xVal>
          <c:yVal>
            <c:numRef>
              <c:f>VesselCharacteristics!$AN$4:$AN$8</c:f>
              <c:numCache>
                <c:formatCode>#,##0.00000</c:formatCode>
                <c:ptCount val="5"/>
                <c:pt idx="0">
                  <c:v>0.10934031002844696</c:v>
                </c:pt>
                <c:pt idx="1">
                  <c:v>0.10934031002844696</c:v>
                </c:pt>
                <c:pt idx="2">
                  <c:v>0.52924591323403525</c:v>
                </c:pt>
                <c:pt idx="3">
                  <c:v>0.52924591323403525</c:v>
                </c:pt>
                <c:pt idx="4">
                  <c:v>0.38458232422874178</c:v>
                </c:pt>
              </c:numCache>
            </c:numRef>
          </c:yVal>
          <c:smooth val="0"/>
        </c:ser>
        <c:ser>
          <c:idx val="6"/>
          <c:order val="6"/>
          <c:tx>
            <c:strRef>
              <c:f>VesselCharacteristics!$AO$3</c:f>
              <c:strCache>
                <c:ptCount val="1"/>
                <c:pt idx="0">
                  <c:v>y-tube-bottom-lower</c:v>
                </c:pt>
              </c:strCache>
            </c:strRef>
          </c:tx>
          <c:spPr>
            <a:ln>
              <a:solidFill>
                <a:srgbClr val="FFC000"/>
              </a:solidFill>
            </a:ln>
          </c:spPr>
          <c:marker>
            <c:symbol val="diamond"/>
            <c:size val="7"/>
            <c:spPr>
              <a:solidFill>
                <a:srgbClr val="FFC000"/>
              </a:solidFill>
              <a:ln>
                <a:solidFill>
                  <a:srgbClr val="FFC000"/>
                </a:solidFill>
              </a:ln>
            </c:spPr>
          </c:marker>
          <c:xVal>
            <c:numRef>
              <c:f>VesselCharacteristics!$AG$4:$AG$8</c:f>
              <c:numCache>
                <c:formatCode>#,##0.00000</c:formatCode>
                <c:ptCount val="5"/>
                <c:pt idx="0" formatCode="General">
                  <c:v>0</c:v>
                </c:pt>
                <c:pt idx="1">
                  <c:v>3.9999999959200001</c:v>
                </c:pt>
                <c:pt idx="2">
                  <c:v>4.2424326089649789</c:v>
                </c:pt>
                <c:pt idx="3">
                  <c:v>4.2736826089331039</c:v>
                </c:pt>
                <c:pt idx="4">
                  <c:v>4.8135744731061214</c:v>
                </c:pt>
              </c:numCache>
            </c:numRef>
          </c:xVal>
          <c:yVal>
            <c:numRef>
              <c:f>VesselCharacteristics!$AO$4:$AO$8</c:f>
              <c:numCache>
                <c:formatCode>#,##0.00000</c:formatCode>
                <c:ptCount val="5"/>
                <c:pt idx="0" formatCode="#,##0.0000000000000">
                  <c:v>9.8425196749999999E-2</c:v>
                </c:pt>
                <c:pt idx="1">
                  <c:v>9.8425196749999999E-2</c:v>
                </c:pt>
                <c:pt idx="2">
                  <c:v>0.51833079995558828</c:v>
                </c:pt>
                <c:pt idx="3">
                  <c:v>0.51833079995558828</c:v>
                </c:pt>
                <c:pt idx="4">
                  <c:v>0.37366721095029481</c:v>
                </c:pt>
              </c:numCache>
            </c:numRef>
          </c:yVal>
          <c:smooth val="0"/>
        </c:ser>
        <c:dLbls>
          <c:showLegendKey val="0"/>
          <c:showVal val="0"/>
          <c:showCatName val="0"/>
          <c:showSerName val="0"/>
          <c:showPercent val="0"/>
          <c:showBubbleSize val="0"/>
        </c:dLbls>
        <c:axId val="339587072"/>
        <c:axId val="339589376"/>
      </c:scatterChart>
      <c:valAx>
        <c:axId val="339587072"/>
        <c:scaling>
          <c:orientation val="minMax"/>
        </c:scaling>
        <c:delete val="0"/>
        <c:axPos val="b"/>
        <c:majorGridlines>
          <c:spPr>
            <a:ln>
              <a:solidFill>
                <a:schemeClr val="bg1">
                  <a:lumMod val="75000"/>
                </a:schemeClr>
              </a:solidFill>
            </a:ln>
          </c:spPr>
        </c:majorGridlines>
        <c:title>
          <c:tx>
            <c:rich>
              <a:bodyPr/>
              <a:lstStyle/>
              <a:p>
                <a:pPr>
                  <a:defRPr/>
                </a:pPr>
                <a:r>
                  <a:rPr lang="en-US"/>
                  <a:t>Length (inches)</a:t>
                </a:r>
              </a:p>
            </c:rich>
          </c:tx>
          <c:layout/>
          <c:overlay val="0"/>
        </c:title>
        <c:numFmt formatCode="General" sourceLinked="1"/>
        <c:majorTickMark val="out"/>
        <c:minorTickMark val="none"/>
        <c:tickLblPos val="nextTo"/>
        <c:crossAx val="339589376"/>
        <c:crosses val="autoZero"/>
        <c:crossBetween val="midCat"/>
      </c:valAx>
      <c:valAx>
        <c:axId val="339589376"/>
        <c:scaling>
          <c:orientation val="minMax"/>
          <c:min val="0"/>
        </c:scaling>
        <c:delete val="0"/>
        <c:axPos val="l"/>
        <c:majorGridlines>
          <c:spPr>
            <a:ln>
              <a:solidFill>
                <a:schemeClr val="bg1">
                  <a:lumMod val="65000"/>
                </a:schemeClr>
              </a:solidFill>
            </a:ln>
          </c:spPr>
        </c:majorGridlines>
        <c:title>
          <c:tx>
            <c:rich>
              <a:bodyPr rot="-5400000" vert="horz"/>
              <a:lstStyle/>
              <a:p>
                <a:pPr>
                  <a:defRPr/>
                </a:pPr>
                <a:r>
                  <a:rPr lang="en-US"/>
                  <a:t>Height (inches)</a:t>
                </a:r>
              </a:p>
            </c:rich>
          </c:tx>
          <c:layout/>
          <c:overlay val="0"/>
        </c:title>
        <c:numFmt formatCode="#,##0.00000" sourceLinked="1"/>
        <c:majorTickMark val="out"/>
        <c:minorTickMark val="none"/>
        <c:tickLblPos val="nextTo"/>
        <c:crossAx val="339587072"/>
        <c:crossesAt val="0"/>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18</xdr:col>
      <xdr:colOff>1669257</xdr:colOff>
      <xdr:row>18</xdr:row>
      <xdr:rowOff>200026</xdr:rowOff>
    </xdr:from>
    <xdr:to>
      <xdr:col>27</xdr:col>
      <xdr:colOff>285751</xdr:colOff>
      <xdr:row>37</xdr:row>
      <xdr:rowOff>190500</xdr:rowOff>
    </xdr:to>
    <xdr:graphicFrame macro="">
      <xdr:nvGraphicFramePr>
        <xdr:cNvPr id="349798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1657350</xdr:colOff>
      <xdr:row>1</xdr:row>
      <xdr:rowOff>197644</xdr:rowOff>
    </xdr:from>
    <xdr:to>
      <xdr:col>27</xdr:col>
      <xdr:colOff>259556</xdr:colOff>
      <xdr:row>17</xdr:row>
      <xdr:rowOff>180976</xdr:rowOff>
    </xdr:to>
    <xdr:graphicFrame macro="">
      <xdr:nvGraphicFramePr>
        <xdr:cNvPr id="3497989"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152400</xdr:colOff>
      <xdr:row>22</xdr:row>
      <xdr:rowOff>85725</xdr:rowOff>
    </xdr:from>
    <xdr:to>
      <xdr:col>51</xdr:col>
      <xdr:colOff>476250</xdr:colOff>
      <xdr:row>74</xdr:row>
      <xdr:rowOff>142875</xdr:rowOff>
    </xdr:to>
    <xdr:graphicFrame macro="">
      <xdr:nvGraphicFramePr>
        <xdr:cNvPr id="3497990"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940594</xdr:colOff>
      <xdr:row>59</xdr:row>
      <xdr:rowOff>152400</xdr:rowOff>
    </xdr:from>
    <xdr:to>
      <xdr:col>14</xdr:col>
      <xdr:colOff>1333500</xdr:colOff>
      <xdr:row>83</xdr:row>
      <xdr:rowOff>107156</xdr:rowOff>
    </xdr:to>
    <xdr:graphicFrame macro="">
      <xdr:nvGraphicFramePr>
        <xdr:cNvPr id="3497991"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297656</xdr:colOff>
      <xdr:row>65</xdr:row>
      <xdr:rowOff>0</xdr:rowOff>
    </xdr:from>
    <xdr:to>
      <xdr:col>11</xdr:col>
      <xdr:colOff>440531</xdr:colOff>
      <xdr:row>92</xdr:row>
      <xdr:rowOff>71438</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535770</xdr:colOff>
      <xdr:row>5</xdr:row>
      <xdr:rowOff>95248</xdr:rowOff>
    </xdr:from>
    <xdr:to>
      <xdr:col>8</xdr:col>
      <xdr:colOff>479039</xdr:colOff>
      <xdr:row>44</xdr:row>
      <xdr:rowOff>28574</xdr:rowOff>
    </xdr:to>
    <xdr:pic>
      <xdr:nvPicPr>
        <xdr:cNvPr id="99" name="Picture 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7926" y="761998"/>
          <a:ext cx="6238875" cy="6434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421823</xdr:colOff>
      <xdr:row>5</xdr:row>
      <xdr:rowOff>122465</xdr:rowOff>
    </xdr:from>
    <xdr:to>
      <xdr:col>2</xdr:col>
      <xdr:colOff>176894</xdr:colOff>
      <xdr:row>7</xdr:row>
      <xdr:rowOff>95250</xdr:rowOff>
    </xdr:to>
    <xdr:sp macro="" textlink="">
      <xdr:nvSpPr>
        <xdr:cNvPr id="3" name="TextBox 2"/>
        <xdr:cNvSpPr txBox="1"/>
      </xdr:nvSpPr>
      <xdr:spPr>
        <a:xfrm>
          <a:off x="4054930" y="9334501"/>
          <a:ext cx="1360714" cy="299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injector Design</a:t>
          </a:r>
        </a:p>
      </xdr:txBody>
    </xdr:sp>
    <xdr:clientData/>
  </xdr:twoCellAnchor>
  <xdr:twoCellAnchor>
    <xdr:from>
      <xdr:col>1</xdr:col>
      <xdr:colOff>816429</xdr:colOff>
      <xdr:row>9</xdr:row>
      <xdr:rowOff>107157</xdr:rowOff>
    </xdr:from>
    <xdr:to>
      <xdr:col>2</xdr:col>
      <xdr:colOff>202406</xdr:colOff>
      <xdr:row>12</xdr:row>
      <xdr:rowOff>40821</xdr:rowOff>
    </xdr:to>
    <xdr:sp macro="" textlink="">
      <xdr:nvSpPr>
        <xdr:cNvPr id="11" name="TextBox 10"/>
        <xdr:cNvSpPr txBox="1"/>
      </xdr:nvSpPr>
      <xdr:spPr>
        <a:xfrm>
          <a:off x="4447835" y="10120313"/>
          <a:ext cx="981415" cy="4337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outer ring</a:t>
          </a:r>
          <a:r>
            <a:rPr lang="en-US" sz="1100" baseline="0"/>
            <a:t> of injector</a:t>
          </a:r>
          <a:endParaRPr lang="en-US" sz="1100"/>
        </a:p>
      </xdr:txBody>
    </xdr:sp>
    <xdr:clientData/>
  </xdr:twoCellAnchor>
  <xdr:twoCellAnchor>
    <xdr:from>
      <xdr:col>2</xdr:col>
      <xdr:colOff>122464</xdr:colOff>
      <xdr:row>17</xdr:row>
      <xdr:rowOff>54430</xdr:rowOff>
    </xdr:from>
    <xdr:to>
      <xdr:col>3</xdr:col>
      <xdr:colOff>244929</xdr:colOff>
      <xdr:row>20</xdr:row>
      <xdr:rowOff>1</xdr:rowOff>
    </xdr:to>
    <xdr:sp macro="" textlink="">
      <xdr:nvSpPr>
        <xdr:cNvPr id="12" name="TextBox 11"/>
        <xdr:cNvSpPr txBox="1"/>
      </xdr:nvSpPr>
      <xdr:spPr>
        <a:xfrm>
          <a:off x="5361214" y="11225894"/>
          <a:ext cx="993322" cy="435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fuel</a:t>
          </a:r>
          <a:r>
            <a:rPr lang="en-US" sz="1100" baseline="0"/>
            <a:t> comes in here.</a:t>
          </a:r>
          <a:endParaRPr lang="en-US" sz="1100"/>
        </a:p>
      </xdr:txBody>
    </xdr:sp>
    <xdr:clientData/>
  </xdr:twoCellAnchor>
  <xdr:twoCellAnchor>
    <xdr:from>
      <xdr:col>4</xdr:col>
      <xdr:colOff>217714</xdr:colOff>
      <xdr:row>29</xdr:row>
      <xdr:rowOff>27213</xdr:rowOff>
    </xdr:from>
    <xdr:to>
      <xdr:col>5</xdr:col>
      <xdr:colOff>56029</xdr:colOff>
      <xdr:row>32</xdr:row>
      <xdr:rowOff>0</xdr:rowOff>
    </xdr:to>
    <xdr:sp macro="" textlink="">
      <xdr:nvSpPr>
        <xdr:cNvPr id="82" name="TextBox 81"/>
        <xdr:cNvSpPr txBox="1"/>
      </xdr:nvSpPr>
      <xdr:spPr>
        <a:xfrm>
          <a:off x="5249155" y="4576801"/>
          <a:ext cx="1126992" cy="4434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fuel</a:t>
          </a:r>
          <a:r>
            <a:rPr lang="en-US" sz="1100" baseline="0"/>
            <a:t> is injected here</a:t>
          </a:r>
          <a:endParaRPr lang="en-US" sz="1100"/>
        </a:p>
      </xdr:txBody>
    </xdr:sp>
    <xdr:clientData/>
  </xdr:twoCellAnchor>
  <xdr:twoCellAnchor>
    <xdr:from>
      <xdr:col>1</xdr:col>
      <xdr:colOff>1503590</xdr:colOff>
      <xdr:row>28</xdr:row>
      <xdr:rowOff>28914</xdr:rowOff>
    </xdr:from>
    <xdr:to>
      <xdr:col>3</xdr:col>
      <xdr:colOff>98652</xdr:colOff>
      <xdr:row>29</xdr:row>
      <xdr:rowOff>149678</xdr:rowOff>
    </xdr:to>
    <xdr:sp macro="" textlink="">
      <xdr:nvSpPr>
        <xdr:cNvPr id="13" name="TextBox 12"/>
        <xdr:cNvSpPr txBox="1"/>
      </xdr:nvSpPr>
      <xdr:spPr>
        <a:xfrm>
          <a:off x="5134996" y="13209133"/>
          <a:ext cx="1059656" cy="442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oxygen comes in here</a:t>
          </a:r>
        </a:p>
      </xdr:txBody>
    </xdr:sp>
    <xdr:clientData/>
  </xdr:twoCellAnchor>
  <xdr:twoCellAnchor>
    <xdr:from>
      <xdr:col>5</xdr:col>
      <xdr:colOff>244929</xdr:colOff>
      <xdr:row>23</xdr:row>
      <xdr:rowOff>27213</xdr:rowOff>
    </xdr:from>
    <xdr:to>
      <xdr:col>6</xdr:col>
      <xdr:colOff>649940</xdr:colOff>
      <xdr:row>26</xdr:row>
      <xdr:rowOff>33618</xdr:rowOff>
    </xdr:to>
    <xdr:sp macro="" textlink="">
      <xdr:nvSpPr>
        <xdr:cNvPr id="95" name="TextBox 94"/>
        <xdr:cNvSpPr txBox="1"/>
      </xdr:nvSpPr>
      <xdr:spPr>
        <a:xfrm>
          <a:off x="6565047" y="3635507"/>
          <a:ext cx="1133393" cy="4770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oxygen is injeted here</a:t>
          </a:r>
        </a:p>
      </xdr:txBody>
    </xdr:sp>
    <xdr:clientData/>
  </xdr:twoCellAnchor>
  <xdr:twoCellAnchor>
    <xdr:from>
      <xdr:col>4</xdr:col>
      <xdr:colOff>258536</xdr:colOff>
      <xdr:row>9</xdr:row>
      <xdr:rowOff>54428</xdr:rowOff>
    </xdr:from>
    <xdr:to>
      <xdr:col>5</xdr:col>
      <xdr:colOff>204107</xdr:colOff>
      <xdr:row>12</xdr:row>
      <xdr:rowOff>13607</xdr:rowOff>
    </xdr:to>
    <xdr:sp macro="" textlink="">
      <xdr:nvSpPr>
        <xdr:cNvPr id="15" name="TextBox 14"/>
        <xdr:cNvSpPr txBox="1"/>
      </xdr:nvSpPr>
      <xdr:spPr>
        <a:xfrm>
          <a:off x="6926036" y="9919607"/>
          <a:ext cx="1238250" cy="449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spark igniter - ignition</a:t>
          </a:r>
          <a:r>
            <a:rPr lang="en-US" sz="1100" baseline="0"/>
            <a:t> source</a:t>
          </a:r>
          <a:endParaRPr lang="en-US" sz="1100"/>
        </a:p>
      </xdr:txBody>
    </xdr:sp>
    <xdr:clientData/>
  </xdr:twoCellAnchor>
  <xdr:twoCellAnchor>
    <xdr:from>
      <xdr:col>4</xdr:col>
      <xdr:colOff>598715</xdr:colOff>
      <xdr:row>12</xdr:row>
      <xdr:rowOff>13607</xdr:rowOff>
    </xdr:from>
    <xdr:to>
      <xdr:col>4</xdr:col>
      <xdr:colOff>877661</xdr:colOff>
      <xdr:row>24</xdr:row>
      <xdr:rowOff>68036</xdr:rowOff>
    </xdr:to>
    <xdr:cxnSp macro="">
      <xdr:nvCxnSpPr>
        <xdr:cNvPr id="18" name="Straight Arrow Connector 17"/>
        <xdr:cNvCxnSpPr>
          <a:stCxn id="15" idx="2"/>
        </xdr:cNvCxnSpPr>
      </xdr:nvCxnSpPr>
      <xdr:spPr>
        <a:xfrm flipH="1">
          <a:off x="7266215" y="10368643"/>
          <a:ext cx="278946" cy="2013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1197432</xdr:colOff>
      <xdr:row>24</xdr:row>
      <xdr:rowOff>108857</xdr:rowOff>
    </xdr:from>
    <xdr:to>
      <xdr:col>5</xdr:col>
      <xdr:colOff>244929</xdr:colOff>
      <xdr:row>24</xdr:row>
      <xdr:rowOff>149679</xdr:rowOff>
    </xdr:to>
    <xdr:cxnSp macro="">
      <xdr:nvCxnSpPr>
        <xdr:cNvPr id="21" name="Straight Arrow Connector 20"/>
        <xdr:cNvCxnSpPr>
          <a:stCxn id="95" idx="1"/>
        </xdr:cNvCxnSpPr>
      </xdr:nvCxnSpPr>
      <xdr:spPr>
        <a:xfrm flipH="1">
          <a:off x="6228873" y="3874033"/>
          <a:ext cx="336174" cy="408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612321</xdr:colOff>
      <xdr:row>28</xdr:row>
      <xdr:rowOff>217714</xdr:rowOff>
    </xdr:from>
    <xdr:to>
      <xdr:col>4</xdr:col>
      <xdr:colOff>666750</xdr:colOff>
      <xdr:row>29</xdr:row>
      <xdr:rowOff>13607</xdr:rowOff>
    </xdr:to>
    <xdr:cxnSp macro="">
      <xdr:nvCxnSpPr>
        <xdr:cNvPr id="25" name="Straight Arrow Connector 24"/>
        <xdr:cNvCxnSpPr/>
      </xdr:nvCxnSpPr>
      <xdr:spPr>
        <a:xfrm flipH="1" flipV="1">
          <a:off x="7279821" y="13185321"/>
          <a:ext cx="54429" cy="1224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98652</xdr:colOff>
      <xdr:row>25</xdr:row>
      <xdr:rowOff>11907</xdr:rowOff>
    </xdr:from>
    <xdr:to>
      <xdr:col>3</xdr:col>
      <xdr:colOff>488156</xdr:colOff>
      <xdr:row>28</xdr:row>
      <xdr:rowOff>250031</xdr:rowOff>
    </xdr:to>
    <xdr:cxnSp macro="">
      <xdr:nvCxnSpPr>
        <xdr:cNvPr id="30" name="Straight Arrow Connector 29"/>
        <xdr:cNvCxnSpPr>
          <a:stCxn id="13" idx="3"/>
        </xdr:cNvCxnSpPr>
      </xdr:nvCxnSpPr>
      <xdr:spPr>
        <a:xfrm flipV="1">
          <a:off x="6194652" y="12692063"/>
          <a:ext cx="389504" cy="738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345281</xdr:colOff>
      <xdr:row>20</xdr:row>
      <xdr:rowOff>11906</xdr:rowOff>
    </xdr:from>
    <xdr:to>
      <xdr:col>2</xdr:col>
      <xdr:colOff>702469</xdr:colOff>
      <xdr:row>24</xdr:row>
      <xdr:rowOff>154781</xdr:rowOff>
    </xdr:to>
    <xdr:cxnSp macro="">
      <xdr:nvCxnSpPr>
        <xdr:cNvPr id="35" name="Straight Arrow Connector 34"/>
        <xdr:cNvCxnSpPr/>
      </xdr:nvCxnSpPr>
      <xdr:spPr>
        <a:xfrm flipH="1">
          <a:off x="5572125" y="11858625"/>
          <a:ext cx="357188" cy="809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273844</xdr:colOff>
      <xdr:row>8</xdr:row>
      <xdr:rowOff>47625</xdr:rowOff>
    </xdr:from>
    <xdr:to>
      <xdr:col>8</xdr:col>
      <xdr:colOff>440531</xdr:colOff>
      <xdr:row>10</xdr:row>
      <xdr:rowOff>23812</xdr:rowOff>
    </xdr:to>
    <xdr:sp macro="" textlink="">
      <xdr:nvSpPr>
        <xdr:cNvPr id="53" name="TextBox 52"/>
        <xdr:cNvSpPr txBox="1"/>
      </xdr:nvSpPr>
      <xdr:spPr>
        <a:xfrm>
          <a:off x="8941594" y="9894094"/>
          <a:ext cx="1381125" cy="309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outside of chamber</a:t>
          </a:r>
        </a:p>
      </xdr:txBody>
    </xdr:sp>
    <xdr:clientData/>
  </xdr:twoCellAnchor>
  <xdr:twoCellAnchor>
    <xdr:from>
      <xdr:col>6</xdr:col>
      <xdr:colOff>440519</xdr:colOff>
      <xdr:row>33</xdr:row>
      <xdr:rowOff>130966</xdr:rowOff>
    </xdr:from>
    <xdr:to>
      <xdr:col>9</xdr:col>
      <xdr:colOff>273844</xdr:colOff>
      <xdr:row>37</xdr:row>
      <xdr:rowOff>130970</xdr:rowOff>
    </xdr:to>
    <xdr:sp macro="" textlink="">
      <xdr:nvSpPr>
        <xdr:cNvPr id="100" name="TextBox 99"/>
        <xdr:cNvSpPr txBox="1"/>
      </xdr:nvSpPr>
      <xdr:spPr>
        <a:xfrm>
          <a:off x="9108269" y="14454185"/>
          <a:ext cx="1654981" cy="666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where the bolts go that connect</a:t>
          </a:r>
          <a:r>
            <a:rPr lang="en-US" sz="1100" baseline="0"/>
            <a:t> the chamber to the  injector</a:t>
          </a:r>
          <a:endParaRPr lang="en-US" sz="1100"/>
        </a:p>
      </xdr:txBody>
    </xdr:sp>
    <xdr:clientData/>
  </xdr:twoCellAnchor>
  <xdr:twoCellAnchor>
    <xdr:from>
      <xdr:col>6</xdr:col>
      <xdr:colOff>71438</xdr:colOff>
      <xdr:row>34</xdr:row>
      <xdr:rowOff>0</xdr:rowOff>
    </xdr:from>
    <xdr:to>
      <xdr:col>6</xdr:col>
      <xdr:colOff>404813</xdr:colOff>
      <xdr:row>34</xdr:row>
      <xdr:rowOff>154781</xdr:rowOff>
    </xdr:to>
    <xdr:cxnSp macro="">
      <xdr:nvCxnSpPr>
        <xdr:cNvPr id="55" name="Straight Arrow Connector 54"/>
        <xdr:cNvCxnSpPr/>
      </xdr:nvCxnSpPr>
      <xdr:spPr>
        <a:xfrm flipH="1" flipV="1">
          <a:off x="8739188" y="14799469"/>
          <a:ext cx="333375" cy="1547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583406</xdr:colOff>
      <xdr:row>10</xdr:row>
      <xdr:rowOff>23812</xdr:rowOff>
    </xdr:from>
    <xdr:to>
      <xdr:col>7</xdr:col>
      <xdr:colOff>357188</xdr:colOff>
      <xdr:row>14</xdr:row>
      <xdr:rowOff>83344</xdr:rowOff>
    </xdr:to>
    <xdr:cxnSp macro="">
      <xdr:nvCxnSpPr>
        <xdr:cNvPr id="102" name="Straight Arrow Connector 101"/>
        <xdr:cNvCxnSpPr>
          <a:stCxn id="53" idx="2"/>
        </xdr:cNvCxnSpPr>
      </xdr:nvCxnSpPr>
      <xdr:spPr>
        <a:xfrm flipH="1">
          <a:off x="8524875" y="10203656"/>
          <a:ext cx="1107282" cy="7262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1039574</xdr:colOff>
      <xdr:row>18</xdr:row>
      <xdr:rowOff>153865</xdr:rowOff>
    </xdr:from>
    <xdr:to>
      <xdr:col>10</xdr:col>
      <xdr:colOff>478362</xdr:colOff>
      <xdr:row>55</xdr:row>
      <xdr:rowOff>60253</xdr:rowOff>
    </xdr:to>
    <xdr:cxnSp macro="">
      <xdr:nvCxnSpPr>
        <xdr:cNvPr id="1264" name="Straight Arrow Connector 1263"/>
        <xdr:cNvCxnSpPr>
          <a:stCxn id="329" idx="2"/>
          <a:endCxn id="1238" idx="3"/>
        </xdr:cNvCxnSpPr>
      </xdr:nvCxnSpPr>
      <xdr:spPr>
        <a:xfrm>
          <a:off x="7135574" y="3154240"/>
          <a:ext cx="962788" cy="58976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1038841</xdr:colOff>
      <xdr:row>18</xdr:row>
      <xdr:rowOff>153865</xdr:rowOff>
    </xdr:from>
    <xdr:to>
      <xdr:col>10</xdr:col>
      <xdr:colOff>45682</xdr:colOff>
      <xdr:row>56</xdr:row>
      <xdr:rowOff>159282</xdr:rowOff>
    </xdr:to>
    <xdr:cxnSp macro="">
      <xdr:nvCxnSpPr>
        <xdr:cNvPr id="1268" name="Straight Arrow Connector 1267"/>
        <xdr:cNvCxnSpPr>
          <a:stCxn id="329" idx="2"/>
          <a:endCxn id="1195" idx="1"/>
        </xdr:cNvCxnSpPr>
      </xdr:nvCxnSpPr>
      <xdr:spPr>
        <a:xfrm>
          <a:off x="7142168" y="3143250"/>
          <a:ext cx="530841" cy="6130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86763</xdr:colOff>
      <xdr:row>35</xdr:row>
      <xdr:rowOff>70056</xdr:rowOff>
    </xdr:from>
    <xdr:to>
      <xdr:col>25</xdr:col>
      <xdr:colOff>503222</xdr:colOff>
      <xdr:row>43</xdr:row>
      <xdr:rowOff>130511</xdr:rowOff>
    </xdr:to>
    <xdr:cxnSp macro="">
      <xdr:nvCxnSpPr>
        <xdr:cNvPr id="1097" name="Straight Arrow Connector 1096"/>
        <xdr:cNvCxnSpPr>
          <a:stCxn id="971" idx="0"/>
          <a:endCxn id="934" idx="1"/>
        </xdr:cNvCxnSpPr>
      </xdr:nvCxnSpPr>
      <xdr:spPr>
        <a:xfrm flipH="1" flipV="1">
          <a:off x="14249705" y="5799710"/>
          <a:ext cx="3457132" cy="13499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1340985</xdr:colOff>
      <xdr:row>23</xdr:row>
      <xdr:rowOff>143059</xdr:rowOff>
    </xdr:from>
    <xdr:to>
      <xdr:col>21</xdr:col>
      <xdr:colOff>91342</xdr:colOff>
      <xdr:row>32</xdr:row>
      <xdr:rowOff>100872</xdr:rowOff>
    </xdr:to>
    <xdr:cxnSp macro="">
      <xdr:nvCxnSpPr>
        <xdr:cNvPr id="1092" name="Straight Arrow Connector 1091"/>
        <xdr:cNvCxnSpPr>
          <a:stCxn id="568" idx="2"/>
          <a:endCxn id="1084" idx="1"/>
        </xdr:cNvCxnSpPr>
      </xdr:nvCxnSpPr>
      <xdr:spPr>
        <a:xfrm>
          <a:off x="7444312" y="3938405"/>
          <a:ext cx="7418107" cy="140854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143030</xdr:colOff>
      <xdr:row>32</xdr:row>
      <xdr:rowOff>25640</xdr:rowOff>
    </xdr:from>
    <xdr:to>
      <xdr:col>27</xdr:col>
      <xdr:colOff>349771</xdr:colOff>
      <xdr:row>33</xdr:row>
      <xdr:rowOff>105318</xdr:rowOff>
    </xdr:to>
    <xdr:cxnSp macro="">
      <xdr:nvCxnSpPr>
        <xdr:cNvPr id="523" name="Straight Arrow Connector 522"/>
        <xdr:cNvCxnSpPr>
          <a:endCxn id="304" idx="2"/>
        </xdr:cNvCxnSpPr>
      </xdr:nvCxnSpPr>
      <xdr:spPr>
        <a:xfrm flipH="1" flipV="1">
          <a:off x="14305972" y="5271717"/>
          <a:ext cx="4463684" cy="2408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70931</xdr:colOff>
      <xdr:row>24</xdr:row>
      <xdr:rowOff>102577</xdr:rowOff>
    </xdr:from>
    <xdr:to>
      <xdr:col>22</xdr:col>
      <xdr:colOff>234461</xdr:colOff>
      <xdr:row>25</xdr:row>
      <xdr:rowOff>3663</xdr:rowOff>
    </xdr:to>
    <xdr:cxnSp macro="">
      <xdr:nvCxnSpPr>
        <xdr:cNvPr id="1150" name="Straight Arrow Connector 1149"/>
        <xdr:cNvCxnSpPr>
          <a:stCxn id="1149" idx="1"/>
          <a:endCxn id="1043" idx="3"/>
        </xdr:cNvCxnSpPr>
      </xdr:nvCxnSpPr>
      <xdr:spPr>
        <a:xfrm flipH="1" flipV="1">
          <a:off x="14842008" y="4059115"/>
          <a:ext cx="771665" cy="6227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43178</xdr:colOff>
      <xdr:row>24</xdr:row>
      <xdr:rowOff>126761</xdr:rowOff>
    </xdr:from>
    <xdr:to>
      <xdr:col>22</xdr:col>
      <xdr:colOff>234461</xdr:colOff>
      <xdr:row>25</xdr:row>
      <xdr:rowOff>3663</xdr:rowOff>
    </xdr:to>
    <xdr:cxnSp macro="">
      <xdr:nvCxnSpPr>
        <xdr:cNvPr id="1153" name="Straight Arrow Connector 1152"/>
        <xdr:cNvCxnSpPr>
          <a:stCxn id="1149" idx="1"/>
          <a:endCxn id="514" idx="3"/>
        </xdr:cNvCxnSpPr>
      </xdr:nvCxnSpPr>
      <xdr:spPr>
        <a:xfrm flipH="1" flipV="1">
          <a:off x="14206120" y="4083299"/>
          <a:ext cx="1407553" cy="380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318147</xdr:colOff>
      <xdr:row>26</xdr:row>
      <xdr:rowOff>25400</xdr:rowOff>
    </xdr:from>
    <xdr:to>
      <xdr:col>6</xdr:col>
      <xdr:colOff>697523</xdr:colOff>
      <xdr:row>32</xdr:row>
      <xdr:rowOff>139212</xdr:rowOff>
    </xdr:to>
    <xdr:cxnSp macro="">
      <xdr:nvCxnSpPr>
        <xdr:cNvPr id="1140" name="Straight Arrow Connector 1139"/>
        <xdr:cNvCxnSpPr>
          <a:stCxn id="1139" idx="0"/>
          <a:endCxn id="1132" idx="1"/>
        </xdr:cNvCxnSpPr>
      </xdr:nvCxnSpPr>
      <xdr:spPr>
        <a:xfrm flipV="1">
          <a:off x="1615012" y="4304323"/>
          <a:ext cx="3031723" cy="10809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317781</xdr:colOff>
      <xdr:row>26</xdr:row>
      <xdr:rowOff>7327</xdr:rowOff>
    </xdr:from>
    <xdr:to>
      <xdr:col>4</xdr:col>
      <xdr:colOff>516486</xdr:colOff>
      <xdr:row>32</xdr:row>
      <xdr:rowOff>139212</xdr:rowOff>
    </xdr:to>
    <xdr:cxnSp macro="">
      <xdr:nvCxnSpPr>
        <xdr:cNvPr id="1143" name="Straight Arrow Connector 1142"/>
        <xdr:cNvCxnSpPr>
          <a:stCxn id="1139" idx="0"/>
          <a:endCxn id="1124" idx="0"/>
        </xdr:cNvCxnSpPr>
      </xdr:nvCxnSpPr>
      <xdr:spPr>
        <a:xfrm flipV="1">
          <a:off x="1613181" y="4303102"/>
          <a:ext cx="1522680" cy="11034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415351</xdr:colOff>
      <xdr:row>28</xdr:row>
      <xdr:rowOff>55367</xdr:rowOff>
    </xdr:from>
    <xdr:to>
      <xdr:col>21</xdr:col>
      <xdr:colOff>165110</xdr:colOff>
      <xdr:row>44</xdr:row>
      <xdr:rowOff>14410</xdr:rowOff>
    </xdr:to>
    <xdr:cxnSp macro="">
      <xdr:nvCxnSpPr>
        <xdr:cNvPr id="1080" name="Straight Arrow Connector 1079"/>
        <xdr:cNvCxnSpPr>
          <a:stCxn id="699" idx="0"/>
          <a:endCxn id="1063" idx="3"/>
        </xdr:cNvCxnSpPr>
      </xdr:nvCxnSpPr>
      <xdr:spPr>
        <a:xfrm flipV="1">
          <a:off x="5910543" y="4656675"/>
          <a:ext cx="9025644" cy="25381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49779</xdr:colOff>
      <xdr:row>22</xdr:row>
      <xdr:rowOff>133349</xdr:rowOff>
    </xdr:from>
    <xdr:to>
      <xdr:col>20</xdr:col>
      <xdr:colOff>600808</xdr:colOff>
      <xdr:row>26</xdr:row>
      <xdr:rowOff>37312</xdr:rowOff>
    </xdr:to>
    <xdr:cxnSp macro="">
      <xdr:nvCxnSpPr>
        <xdr:cNvPr id="1051" name="Straight Arrow Connector 1050"/>
        <xdr:cNvCxnSpPr>
          <a:stCxn id="374" idx="2"/>
          <a:endCxn id="1048" idx="0"/>
        </xdr:cNvCxnSpPr>
      </xdr:nvCxnSpPr>
      <xdr:spPr>
        <a:xfrm>
          <a:off x="13003779" y="3781424"/>
          <a:ext cx="1770229" cy="5516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1340985</xdr:colOff>
      <xdr:row>23</xdr:row>
      <xdr:rowOff>143059</xdr:rowOff>
    </xdr:from>
    <xdr:to>
      <xdr:col>20</xdr:col>
      <xdr:colOff>73486</xdr:colOff>
      <xdr:row>34</xdr:row>
      <xdr:rowOff>23938</xdr:rowOff>
    </xdr:to>
    <xdr:cxnSp macro="">
      <xdr:nvCxnSpPr>
        <xdr:cNvPr id="931" name="Straight Arrow Connector 930"/>
        <xdr:cNvCxnSpPr>
          <a:stCxn id="568" idx="2"/>
          <a:endCxn id="909" idx="1"/>
        </xdr:cNvCxnSpPr>
      </xdr:nvCxnSpPr>
      <xdr:spPr>
        <a:xfrm>
          <a:off x="7444312" y="3938405"/>
          <a:ext cx="6792116" cy="16539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506234</xdr:colOff>
      <xdr:row>30</xdr:row>
      <xdr:rowOff>93834</xdr:rowOff>
    </xdr:from>
    <xdr:to>
      <xdr:col>8</xdr:col>
      <xdr:colOff>447467</xdr:colOff>
      <xdr:row>39</xdr:row>
      <xdr:rowOff>160733</xdr:rowOff>
    </xdr:to>
    <xdr:cxnSp macro="">
      <xdr:nvCxnSpPr>
        <xdr:cNvPr id="785" name="Straight Arrow Connector 784"/>
        <xdr:cNvCxnSpPr>
          <a:stCxn id="783" idx="0"/>
          <a:endCxn id="686" idx="3"/>
        </xdr:cNvCxnSpPr>
      </xdr:nvCxnSpPr>
      <xdr:spPr>
        <a:xfrm flipH="1" flipV="1">
          <a:off x="3125609" y="5037309"/>
          <a:ext cx="2808258" cy="15242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230869</xdr:colOff>
      <xdr:row>20</xdr:row>
      <xdr:rowOff>160721</xdr:rowOff>
    </xdr:from>
    <xdr:to>
      <xdr:col>5</xdr:col>
      <xdr:colOff>456223</xdr:colOff>
      <xdr:row>39</xdr:row>
      <xdr:rowOff>52754</xdr:rowOff>
    </xdr:to>
    <xdr:cxnSp macro="">
      <xdr:nvCxnSpPr>
        <xdr:cNvPr id="770" name="Straight Arrow Connector 769"/>
        <xdr:cNvCxnSpPr>
          <a:stCxn id="766" idx="3"/>
          <a:endCxn id="748" idx="1"/>
        </xdr:cNvCxnSpPr>
      </xdr:nvCxnSpPr>
      <xdr:spPr>
        <a:xfrm flipV="1">
          <a:off x="2853907" y="3472490"/>
          <a:ext cx="958047" cy="29546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369794</xdr:colOff>
      <xdr:row>18</xdr:row>
      <xdr:rowOff>76200</xdr:rowOff>
    </xdr:from>
    <xdr:to>
      <xdr:col>13</xdr:col>
      <xdr:colOff>380999</xdr:colOff>
      <xdr:row>21</xdr:row>
      <xdr:rowOff>11206</xdr:rowOff>
    </xdr:to>
    <xdr:cxnSp macro="">
      <xdr:nvCxnSpPr>
        <xdr:cNvPr id="2" name="Straight Arrow Connector 1"/>
        <xdr:cNvCxnSpPr>
          <a:stCxn id="166" idx="1"/>
        </xdr:cNvCxnSpPr>
      </xdr:nvCxnSpPr>
      <xdr:spPr>
        <a:xfrm flipH="1">
          <a:off x="5246594" y="3505200"/>
          <a:ext cx="5478555" cy="5065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381000</xdr:colOff>
      <xdr:row>16</xdr:row>
      <xdr:rowOff>66675</xdr:rowOff>
    </xdr:from>
    <xdr:to>
      <xdr:col>13</xdr:col>
      <xdr:colOff>380999</xdr:colOff>
      <xdr:row>20</xdr:row>
      <xdr:rowOff>38100</xdr:rowOff>
    </xdr:to>
    <xdr:cxnSp macro="">
      <xdr:nvCxnSpPr>
        <xdr:cNvPr id="3" name="Straight Arrow Connector 2"/>
        <xdr:cNvCxnSpPr>
          <a:stCxn id="167" idx="1"/>
        </xdr:cNvCxnSpPr>
      </xdr:nvCxnSpPr>
      <xdr:spPr>
        <a:xfrm flipH="1">
          <a:off x="5084885" y="2733675"/>
          <a:ext cx="5202114" cy="61619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129109</xdr:colOff>
      <xdr:row>1</xdr:row>
      <xdr:rowOff>148857</xdr:rowOff>
    </xdr:from>
    <xdr:to>
      <xdr:col>7</xdr:col>
      <xdr:colOff>340009</xdr:colOff>
      <xdr:row>15</xdr:row>
      <xdr:rowOff>106143</xdr:rowOff>
    </xdr:to>
    <xdr:cxnSp macro="">
      <xdr:nvCxnSpPr>
        <xdr:cNvPr id="5" name="Straight Arrow Connector 4"/>
        <xdr:cNvCxnSpPr>
          <a:stCxn id="481" idx="0"/>
          <a:endCxn id="121" idx="2"/>
        </xdr:cNvCxnSpPr>
      </xdr:nvCxnSpPr>
      <xdr:spPr>
        <a:xfrm>
          <a:off x="4072459" y="310782"/>
          <a:ext cx="963375" cy="23099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510504</xdr:colOff>
      <xdr:row>23</xdr:row>
      <xdr:rowOff>87100</xdr:rowOff>
    </xdr:from>
    <xdr:to>
      <xdr:col>6</xdr:col>
      <xdr:colOff>399589</xdr:colOff>
      <xdr:row>25</xdr:row>
      <xdr:rowOff>55461</xdr:rowOff>
    </xdr:to>
    <xdr:cxnSp macro="">
      <xdr:nvCxnSpPr>
        <xdr:cNvPr id="8" name="Straight Arrow Connector 7"/>
        <xdr:cNvCxnSpPr>
          <a:stCxn id="333" idx="3"/>
          <a:endCxn id="251" idx="3"/>
        </xdr:cNvCxnSpPr>
      </xdr:nvCxnSpPr>
      <xdr:spPr>
        <a:xfrm>
          <a:off x="3129879" y="3897100"/>
          <a:ext cx="1213060" cy="2922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336005</xdr:colOff>
      <xdr:row>16</xdr:row>
      <xdr:rowOff>173513</xdr:rowOff>
    </xdr:from>
    <xdr:to>
      <xdr:col>8</xdr:col>
      <xdr:colOff>81631</xdr:colOff>
      <xdr:row>22</xdr:row>
      <xdr:rowOff>97696</xdr:rowOff>
    </xdr:to>
    <xdr:cxnSp macro="">
      <xdr:nvCxnSpPr>
        <xdr:cNvPr id="10" name="Straight Arrow Connector 9"/>
        <xdr:cNvCxnSpPr>
          <a:stCxn id="329" idx="1"/>
          <a:endCxn id="226" idx="3"/>
        </xdr:cNvCxnSpPr>
      </xdr:nvCxnSpPr>
      <xdr:spPr>
        <a:xfrm flipH="1">
          <a:off x="5212805" y="3221513"/>
          <a:ext cx="536201" cy="10671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528977</xdr:colOff>
      <xdr:row>16</xdr:row>
      <xdr:rowOff>158860</xdr:rowOff>
    </xdr:from>
    <xdr:to>
      <xdr:col>8</xdr:col>
      <xdr:colOff>81631</xdr:colOff>
      <xdr:row>19</xdr:row>
      <xdr:rowOff>33287</xdr:rowOff>
    </xdr:to>
    <xdr:cxnSp macro="">
      <xdr:nvCxnSpPr>
        <xdr:cNvPr id="11" name="Straight Arrow Connector 10"/>
        <xdr:cNvCxnSpPr>
          <a:stCxn id="329" idx="1"/>
          <a:endCxn id="220" idx="1"/>
        </xdr:cNvCxnSpPr>
      </xdr:nvCxnSpPr>
      <xdr:spPr>
        <a:xfrm flipH="1">
          <a:off x="3884708" y="2825860"/>
          <a:ext cx="1692115" cy="3580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244917</xdr:colOff>
      <xdr:row>16</xdr:row>
      <xdr:rowOff>173513</xdr:rowOff>
    </xdr:from>
    <xdr:to>
      <xdr:col>12</xdr:col>
      <xdr:colOff>517071</xdr:colOff>
      <xdr:row>23</xdr:row>
      <xdr:rowOff>16057</xdr:rowOff>
    </xdr:to>
    <xdr:cxnSp macro="">
      <xdr:nvCxnSpPr>
        <xdr:cNvPr id="12" name="Straight Arrow Connector 11"/>
        <xdr:cNvCxnSpPr>
          <a:stCxn id="329" idx="3"/>
          <a:endCxn id="185" idx="1"/>
        </xdr:cNvCxnSpPr>
      </xdr:nvCxnSpPr>
      <xdr:spPr>
        <a:xfrm>
          <a:off x="8884092" y="3221513"/>
          <a:ext cx="881754" cy="117604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736299</xdr:colOff>
      <xdr:row>31</xdr:row>
      <xdr:rowOff>150993</xdr:rowOff>
    </xdr:from>
    <xdr:to>
      <xdr:col>9</xdr:col>
      <xdr:colOff>658116</xdr:colOff>
      <xdr:row>35</xdr:row>
      <xdr:rowOff>62539</xdr:rowOff>
    </xdr:to>
    <xdr:cxnSp macro="">
      <xdr:nvCxnSpPr>
        <xdr:cNvPr id="13" name="Straight Arrow Connector 12"/>
        <xdr:cNvCxnSpPr>
          <a:stCxn id="331" idx="0"/>
          <a:endCxn id="243" idx="3"/>
        </xdr:cNvCxnSpPr>
      </xdr:nvCxnSpPr>
      <xdr:spPr>
        <a:xfrm flipH="1" flipV="1">
          <a:off x="4685511" y="5235878"/>
          <a:ext cx="2075932" cy="55631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658116</xdr:colOff>
      <xdr:row>29</xdr:row>
      <xdr:rowOff>20132</xdr:rowOff>
    </xdr:from>
    <xdr:to>
      <xdr:col>19</xdr:col>
      <xdr:colOff>570743</xdr:colOff>
      <xdr:row>35</xdr:row>
      <xdr:rowOff>62539</xdr:rowOff>
    </xdr:to>
    <xdr:cxnSp macro="">
      <xdr:nvCxnSpPr>
        <xdr:cNvPr id="15" name="Straight Arrow Connector 14"/>
        <xdr:cNvCxnSpPr>
          <a:stCxn id="331" idx="0"/>
          <a:endCxn id="296" idx="3"/>
        </xdr:cNvCxnSpPr>
      </xdr:nvCxnSpPr>
      <xdr:spPr>
        <a:xfrm flipV="1">
          <a:off x="6761443" y="4782632"/>
          <a:ext cx="7364108" cy="10095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51368</xdr:colOff>
      <xdr:row>4</xdr:row>
      <xdr:rowOff>33849</xdr:rowOff>
    </xdr:from>
    <xdr:to>
      <xdr:col>9</xdr:col>
      <xdr:colOff>241016</xdr:colOff>
      <xdr:row>11</xdr:row>
      <xdr:rowOff>118699</xdr:rowOff>
    </xdr:to>
    <xdr:cxnSp macro="">
      <xdr:nvCxnSpPr>
        <xdr:cNvPr id="16" name="Straight Arrow Connector 15"/>
        <xdr:cNvCxnSpPr>
          <a:stCxn id="69" idx="1"/>
          <a:endCxn id="121" idx="3"/>
        </xdr:cNvCxnSpPr>
      </xdr:nvCxnSpPr>
      <xdr:spPr>
        <a:xfrm flipH="1">
          <a:off x="5718743" y="795849"/>
          <a:ext cx="799248" cy="1418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693964</xdr:colOff>
      <xdr:row>17</xdr:row>
      <xdr:rowOff>176893</xdr:rowOff>
    </xdr:from>
    <xdr:to>
      <xdr:col>7</xdr:col>
      <xdr:colOff>49501</xdr:colOff>
      <xdr:row>18</xdr:row>
      <xdr:rowOff>36391</xdr:rowOff>
    </xdr:to>
    <xdr:sp macro="" textlink="">
      <xdr:nvSpPr>
        <xdr:cNvPr id="17" name="Pentagon 16"/>
        <xdr:cNvSpPr/>
      </xdr:nvSpPr>
      <xdr:spPr>
        <a:xfrm>
          <a:off x="4818289" y="3415393"/>
          <a:ext cx="108012" cy="49998"/>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626035</xdr:colOff>
      <xdr:row>18</xdr:row>
      <xdr:rowOff>85721</xdr:rowOff>
    </xdr:from>
    <xdr:to>
      <xdr:col>9</xdr:col>
      <xdr:colOff>264312</xdr:colOff>
      <xdr:row>32</xdr:row>
      <xdr:rowOff>43880</xdr:rowOff>
    </xdr:to>
    <xdr:cxnSp macro="">
      <xdr:nvCxnSpPr>
        <xdr:cNvPr id="18" name="Straight Arrow Connector 17"/>
        <xdr:cNvCxnSpPr>
          <a:stCxn id="91" idx="0"/>
          <a:endCxn id="161" idx="2"/>
        </xdr:cNvCxnSpPr>
      </xdr:nvCxnSpPr>
      <xdr:spPr>
        <a:xfrm flipH="1" flipV="1">
          <a:off x="4573983" y="3120583"/>
          <a:ext cx="1792898" cy="22572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9</xdr:row>
      <xdr:rowOff>174625</xdr:rowOff>
    </xdr:from>
    <xdr:to>
      <xdr:col>16</xdr:col>
      <xdr:colOff>373062</xdr:colOff>
      <xdr:row>18</xdr:row>
      <xdr:rowOff>7938</xdr:rowOff>
    </xdr:to>
    <xdr:cxnSp macro="">
      <xdr:nvCxnSpPr>
        <xdr:cNvPr id="19" name="Straight Arrow Connector 18"/>
        <xdr:cNvCxnSpPr/>
      </xdr:nvCxnSpPr>
      <xdr:spPr>
        <a:xfrm flipH="1">
          <a:off x="5186363" y="1889125"/>
          <a:ext cx="7359649" cy="15478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119828</xdr:colOff>
      <xdr:row>10</xdr:row>
      <xdr:rowOff>133350</xdr:rowOff>
    </xdr:from>
    <xdr:to>
      <xdr:col>9</xdr:col>
      <xdr:colOff>1026999</xdr:colOff>
      <xdr:row>18</xdr:row>
      <xdr:rowOff>36390</xdr:rowOff>
    </xdr:to>
    <xdr:cxnSp macro="">
      <xdr:nvCxnSpPr>
        <xdr:cNvPr id="20" name="Straight Arrow Connector 19"/>
        <xdr:cNvCxnSpPr>
          <a:stCxn id="90" idx="2"/>
          <a:endCxn id="174" idx="2"/>
        </xdr:cNvCxnSpPr>
      </xdr:nvCxnSpPr>
      <xdr:spPr>
        <a:xfrm flipH="1">
          <a:off x="4996628" y="2038350"/>
          <a:ext cx="2307346" cy="14270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326869</xdr:colOff>
      <xdr:row>5</xdr:row>
      <xdr:rowOff>57150</xdr:rowOff>
    </xdr:from>
    <xdr:to>
      <xdr:col>12</xdr:col>
      <xdr:colOff>647700</xdr:colOff>
      <xdr:row>16</xdr:row>
      <xdr:rowOff>60198</xdr:rowOff>
    </xdr:to>
    <xdr:cxnSp macro="">
      <xdr:nvCxnSpPr>
        <xdr:cNvPr id="21" name="Straight Arrow Connector 20"/>
        <xdr:cNvCxnSpPr>
          <a:stCxn id="173" idx="1"/>
          <a:endCxn id="126" idx="1"/>
        </xdr:cNvCxnSpPr>
      </xdr:nvCxnSpPr>
      <xdr:spPr>
        <a:xfrm flipH="1">
          <a:off x="5203669" y="1009650"/>
          <a:ext cx="4692806" cy="209854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542472</xdr:colOff>
      <xdr:row>24</xdr:row>
      <xdr:rowOff>97972</xdr:rowOff>
    </xdr:from>
    <xdr:to>
      <xdr:col>13</xdr:col>
      <xdr:colOff>254113</xdr:colOff>
      <xdr:row>32</xdr:row>
      <xdr:rowOff>115660</xdr:rowOff>
    </xdr:to>
    <xdr:cxnSp macro="">
      <xdr:nvCxnSpPr>
        <xdr:cNvPr id="22" name="Straight Arrow Connector 21"/>
        <xdr:cNvCxnSpPr>
          <a:stCxn id="89" idx="0"/>
          <a:endCxn id="192" idx="1"/>
        </xdr:cNvCxnSpPr>
      </xdr:nvCxnSpPr>
      <xdr:spPr>
        <a:xfrm flipH="1" flipV="1">
          <a:off x="9597175" y="4044894"/>
          <a:ext cx="551032" cy="13035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500464</xdr:colOff>
      <xdr:row>28</xdr:row>
      <xdr:rowOff>1465</xdr:rowOff>
    </xdr:from>
    <xdr:to>
      <xdr:col>13</xdr:col>
      <xdr:colOff>254113</xdr:colOff>
      <xdr:row>32</xdr:row>
      <xdr:rowOff>115660</xdr:rowOff>
    </xdr:to>
    <xdr:cxnSp macro="">
      <xdr:nvCxnSpPr>
        <xdr:cNvPr id="23" name="Straight Arrow Connector 22"/>
        <xdr:cNvCxnSpPr>
          <a:stCxn id="89" idx="0"/>
          <a:endCxn id="428" idx="2"/>
        </xdr:cNvCxnSpPr>
      </xdr:nvCxnSpPr>
      <xdr:spPr>
        <a:xfrm flipH="1" flipV="1">
          <a:off x="8947948" y="4591324"/>
          <a:ext cx="1200259" cy="75713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241016</xdr:colOff>
      <xdr:row>4</xdr:row>
      <xdr:rowOff>33849</xdr:rowOff>
    </xdr:from>
    <xdr:to>
      <xdr:col>13</xdr:col>
      <xdr:colOff>23812</xdr:colOff>
      <xdr:row>13</xdr:row>
      <xdr:rowOff>70241</xdr:rowOff>
    </xdr:to>
    <xdr:cxnSp macro="">
      <xdr:nvCxnSpPr>
        <xdr:cNvPr id="25" name="Straight Arrow Connector 24"/>
        <xdr:cNvCxnSpPr>
          <a:stCxn id="69" idx="1"/>
          <a:endCxn id="58" idx="3"/>
        </xdr:cNvCxnSpPr>
      </xdr:nvCxnSpPr>
      <xdr:spPr>
        <a:xfrm>
          <a:off x="6517991" y="795849"/>
          <a:ext cx="3849971" cy="17508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254112</xdr:colOff>
      <xdr:row>32</xdr:row>
      <xdr:rowOff>115660</xdr:rowOff>
    </xdr:from>
    <xdr:to>
      <xdr:col>13</xdr:col>
      <xdr:colOff>580004</xdr:colOff>
      <xdr:row>35</xdr:row>
      <xdr:rowOff>44733</xdr:rowOff>
    </xdr:to>
    <xdr:cxnSp macro="">
      <xdr:nvCxnSpPr>
        <xdr:cNvPr id="27" name="Straight Arrow Connector 26"/>
        <xdr:cNvCxnSpPr>
          <a:stCxn id="89" idx="0"/>
        </xdr:cNvCxnSpPr>
      </xdr:nvCxnSpPr>
      <xdr:spPr>
        <a:xfrm>
          <a:off x="10148206" y="5348457"/>
          <a:ext cx="325892" cy="411276"/>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439510</xdr:colOff>
      <xdr:row>7</xdr:row>
      <xdr:rowOff>95248</xdr:rowOff>
    </xdr:from>
    <xdr:to>
      <xdr:col>21</xdr:col>
      <xdr:colOff>213292</xdr:colOff>
      <xdr:row>15</xdr:row>
      <xdr:rowOff>70137</xdr:rowOff>
    </xdr:to>
    <xdr:sp macro="" textlink="">
      <xdr:nvSpPr>
        <xdr:cNvPr id="28" name="Rounded Rectangle 27"/>
        <xdr:cNvSpPr/>
      </xdr:nvSpPr>
      <xdr:spPr>
        <a:xfrm>
          <a:off x="14441260" y="1428748"/>
          <a:ext cx="992982" cy="1498889"/>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aseline="0">
              <a:solidFill>
                <a:sysClr val="windowText" lastClr="000000"/>
              </a:solidFill>
            </a:rPr>
            <a:t>Oxidizer Tank</a:t>
          </a:r>
          <a:endParaRPr lang="en-US" sz="1100">
            <a:solidFill>
              <a:sysClr val="windowText" lastClr="000000"/>
            </a:solidFill>
          </a:endParaRPr>
        </a:p>
      </xdr:txBody>
    </xdr:sp>
    <xdr:clientData/>
  </xdr:twoCellAnchor>
  <xdr:twoCellAnchor>
    <xdr:from>
      <xdr:col>35</xdr:col>
      <xdr:colOff>0</xdr:colOff>
      <xdr:row>8</xdr:row>
      <xdr:rowOff>0</xdr:rowOff>
    </xdr:from>
    <xdr:to>
      <xdr:col>35</xdr:col>
      <xdr:colOff>428625</xdr:colOff>
      <xdr:row>9</xdr:row>
      <xdr:rowOff>35718</xdr:rowOff>
    </xdr:to>
    <xdr:grpSp>
      <xdr:nvGrpSpPr>
        <xdr:cNvPr id="29" name="Group 28"/>
        <xdr:cNvGrpSpPr/>
      </xdr:nvGrpSpPr>
      <xdr:grpSpPr>
        <a:xfrm>
          <a:off x="23317200" y="1381125"/>
          <a:ext cx="428625" cy="197643"/>
          <a:chOff x="2667000" y="1262063"/>
          <a:chExt cx="428625" cy="226218"/>
        </a:xfrm>
      </xdr:grpSpPr>
      <xdr:sp macro="" textlink="">
        <xdr:nvSpPr>
          <xdr:cNvPr id="30" name="Rectangle 29"/>
          <xdr:cNvSpPr/>
        </xdr:nvSpPr>
        <xdr:spPr>
          <a:xfrm>
            <a:off x="2678906" y="1262063"/>
            <a:ext cx="416719" cy="2262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1" name="Straight Arrow Connector 30"/>
          <xdr:cNvCxnSpPr/>
        </xdr:nvCxnSpPr>
        <xdr:spPr>
          <a:xfrm flipH="1">
            <a:off x="2667000" y="1363266"/>
            <a:ext cx="416719" cy="1588"/>
          </a:xfrm>
          <a:prstGeom prst="straightConnector1">
            <a:avLst/>
          </a:prstGeom>
          <a:ln w="2667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0</xdr:colOff>
      <xdr:row>10</xdr:row>
      <xdr:rowOff>0</xdr:rowOff>
    </xdr:from>
    <xdr:to>
      <xdr:col>35</xdr:col>
      <xdr:colOff>416719</xdr:colOff>
      <xdr:row>11</xdr:row>
      <xdr:rowOff>40474</xdr:rowOff>
    </xdr:to>
    <xdr:grpSp>
      <xdr:nvGrpSpPr>
        <xdr:cNvPr id="32" name="Group 31"/>
        <xdr:cNvGrpSpPr/>
      </xdr:nvGrpSpPr>
      <xdr:grpSpPr>
        <a:xfrm>
          <a:off x="23317200" y="1704975"/>
          <a:ext cx="416719" cy="202399"/>
          <a:chOff x="4869656" y="2090744"/>
          <a:chExt cx="416719" cy="230974"/>
        </a:xfrm>
      </xdr:grpSpPr>
      <xdr:sp macro="" textlink="">
        <xdr:nvSpPr>
          <xdr:cNvPr id="33" name="Rectangle 32"/>
          <xdr:cNvSpPr/>
        </xdr:nvSpPr>
        <xdr:spPr>
          <a:xfrm>
            <a:off x="4869656" y="2095500"/>
            <a:ext cx="416719" cy="226218"/>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4" name="Straight Connector 33"/>
          <xdr:cNvCxnSpPr/>
        </xdr:nvCxnSpPr>
        <xdr:spPr>
          <a:xfrm rot="16200000" flipH="1">
            <a:off x="4845847" y="2208609"/>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xdr:cNvCxnSpPr/>
        </xdr:nvCxnSpPr>
        <xdr:spPr>
          <a:xfrm rot="16200000" flipH="1">
            <a:off x="4974435" y="2206231"/>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rot="16200000" flipH="1">
            <a:off x="5079211" y="2203853"/>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130966</xdr:colOff>
      <xdr:row>12</xdr:row>
      <xdr:rowOff>1359</xdr:rowOff>
    </xdr:from>
    <xdr:to>
      <xdr:col>35</xdr:col>
      <xdr:colOff>345278</xdr:colOff>
      <xdr:row>12</xdr:row>
      <xdr:rowOff>158521</xdr:rowOff>
    </xdr:to>
    <xdr:grpSp>
      <xdr:nvGrpSpPr>
        <xdr:cNvPr id="37" name="Group 36"/>
        <xdr:cNvGrpSpPr/>
      </xdr:nvGrpSpPr>
      <xdr:grpSpPr>
        <a:xfrm>
          <a:off x="23448166" y="2030184"/>
          <a:ext cx="214312" cy="157162"/>
          <a:chOff x="3250407" y="1738312"/>
          <a:chExt cx="214312" cy="214312"/>
        </a:xfrm>
      </xdr:grpSpPr>
      <xdr:sp macro="" textlink="">
        <xdr:nvSpPr>
          <xdr:cNvPr id="38" name="Oval 37"/>
          <xdr:cNvSpPr/>
        </xdr:nvSpPr>
        <xdr:spPr>
          <a:xfrm>
            <a:off x="3250407" y="1738312"/>
            <a:ext cx="214312" cy="214312"/>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9" name="Straight Connector 38"/>
          <xdr:cNvCxnSpPr/>
        </xdr:nvCxnSpPr>
        <xdr:spPr>
          <a:xfrm rot="16200000" flipH="1">
            <a:off x="3305604" y="1769697"/>
            <a:ext cx="151542" cy="151542"/>
          </a:xfrm>
          <a:prstGeom prst="line">
            <a:avLst/>
          </a:prstGeom>
          <a:ln w="2794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119063</xdr:colOff>
      <xdr:row>19</xdr:row>
      <xdr:rowOff>86069</xdr:rowOff>
    </xdr:from>
    <xdr:to>
      <xdr:col>35</xdr:col>
      <xdr:colOff>345282</xdr:colOff>
      <xdr:row>20</xdr:row>
      <xdr:rowOff>52736</xdr:rowOff>
    </xdr:to>
    <xdr:grpSp>
      <xdr:nvGrpSpPr>
        <xdr:cNvPr id="40" name="Group 39"/>
        <xdr:cNvGrpSpPr/>
      </xdr:nvGrpSpPr>
      <xdr:grpSpPr>
        <a:xfrm>
          <a:off x="23436263" y="3248369"/>
          <a:ext cx="226219" cy="128592"/>
          <a:chOff x="5703094" y="3033714"/>
          <a:chExt cx="226219" cy="157167"/>
        </a:xfrm>
      </xdr:grpSpPr>
      <xdr:sp macro="" textlink="">
        <xdr:nvSpPr>
          <xdr:cNvPr id="41" name="Rectangle 40"/>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42" name="Straight Connector 41"/>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Straight Connector 42"/>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130966</xdr:colOff>
      <xdr:row>21</xdr:row>
      <xdr:rowOff>23812</xdr:rowOff>
    </xdr:from>
    <xdr:to>
      <xdr:col>35</xdr:col>
      <xdr:colOff>347661</xdr:colOff>
      <xdr:row>21</xdr:row>
      <xdr:rowOff>158352</xdr:rowOff>
    </xdr:to>
    <xdr:grpSp>
      <xdr:nvGrpSpPr>
        <xdr:cNvPr id="45" name="Group 44"/>
        <xdr:cNvGrpSpPr/>
      </xdr:nvGrpSpPr>
      <xdr:grpSpPr>
        <a:xfrm>
          <a:off x="23448166" y="3509962"/>
          <a:ext cx="216695" cy="134540"/>
          <a:chOff x="7915274" y="3042047"/>
          <a:chExt cx="216695" cy="163115"/>
        </a:xfrm>
      </xdr:grpSpPr>
      <xdr:sp macro="" textlink="">
        <xdr:nvSpPr>
          <xdr:cNvPr id="46" name="Rectangle 45"/>
          <xdr:cNvSpPr/>
        </xdr:nvSpPr>
        <xdr:spPr>
          <a:xfrm>
            <a:off x="7915274" y="3048000"/>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47" name="Oval 46"/>
          <xdr:cNvSpPr/>
        </xdr:nvSpPr>
        <xdr:spPr>
          <a:xfrm>
            <a:off x="7917656" y="3042047"/>
            <a:ext cx="208359" cy="160734"/>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13</xdr:col>
      <xdr:colOff>219417</xdr:colOff>
      <xdr:row>23</xdr:row>
      <xdr:rowOff>3427</xdr:rowOff>
    </xdr:from>
    <xdr:to>
      <xdr:col>18</xdr:col>
      <xdr:colOff>244929</xdr:colOff>
      <xdr:row>26</xdr:row>
      <xdr:rowOff>0</xdr:rowOff>
    </xdr:to>
    <xdr:sp macro="" textlink="">
      <xdr:nvSpPr>
        <xdr:cNvPr id="48" name="TextBox 47"/>
        <xdr:cNvSpPr txBox="1"/>
      </xdr:nvSpPr>
      <xdr:spPr>
        <a:xfrm>
          <a:off x="10125417" y="3798773"/>
          <a:ext cx="3066185" cy="48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1/8" NPT F/F</a:t>
          </a:r>
          <a:r>
            <a:rPr lang="en-US" sz="1100" baseline="0">
              <a:solidFill>
                <a:schemeClr val="dk1"/>
              </a:solidFill>
              <a:latin typeface="+mn-lt"/>
              <a:ea typeface="+mn-ea"/>
              <a:cs typeface="+mn-cs"/>
            </a:rPr>
            <a:t> </a:t>
          </a:r>
          <a:r>
            <a:rPr lang="en-US"/>
            <a:t>Brass Spring-Loaded Piston Check Valve. </a:t>
          </a:r>
          <a:r>
            <a:rPr lang="en-US" baseline="0"/>
            <a:t>1000psi 7775K51</a:t>
          </a:r>
          <a:endParaRPr lang="en-US"/>
        </a:p>
      </xdr:txBody>
    </xdr:sp>
    <xdr:clientData/>
  </xdr:twoCellAnchor>
  <xdr:twoCellAnchor>
    <xdr:from>
      <xdr:col>34</xdr:col>
      <xdr:colOff>154782</xdr:colOff>
      <xdr:row>22</xdr:row>
      <xdr:rowOff>154781</xdr:rowOff>
    </xdr:from>
    <xdr:to>
      <xdr:col>35</xdr:col>
      <xdr:colOff>577442</xdr:colOff>
      <xdr:row>23</xdr:row>
      <xdr:rowOff>172646</xdr:rowOff>
    </xdr:to>
    <xdr:sp macro="" textlink="">
      <xdr:nvSpPr>
        <xdr:cNvPr id="49" name="Isosceles Triangle 48"/>
        <xdr:cNvSpPr/>
      </xdr:nvSpPr>
      <xdr:spPr>
        <a:xfrm rot="5400000">
          <a:off x="23712479" y="2981334"/>
          <a:ext cx="208365" cy="1032260"/>
        </a:xfrm>
        <a:prstGeom prst="triangle">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107154</xdr:colOff>
      <xdr:row>25</xdr:row>
      <xdr:rowOff>47624</xdr:rowOff>
    </xdr:from>
    <xdr:to>
      <xdr:col>35</xdr:col>
      <xdr:colOff>471345</xdr:colOff>
      <xdr:row>25</xdr:row>
      <xdr:rowOff>158422</xdr:rowOff>
    </xdr:to>
    <xdr:grpSp>
      <xdr:nvGrpSpPr>
        <xdr:cNvPr id="50" name="Group 49"/>
        <xdr:cNvGrpSpPr/>
      </xdr:nvGrpSpPr>
      <xdr:grpSpPr>
        <a:xfrm>
          <a:off x="23424354" y="4181474"/>
          <a:ext cx="364191" cy="110798"/>
          <a:chOff x="16430623" y="2714624"/>
          <a:chExt cx="364191" cy="129848"/>
        </a:xfrm>
      </xdr:grpSpPr>
      <xdr:cxnSp macro="">
        <xdr:nvCxnSpPr>
          <xdr:cNvPr id="51" name="Straight Connector 50"/>
          <xdr:cNvCxnSpPr/>
        </xdr:nvCxnSpPr>
        <xdr:spPr>
          <a:xfrm rot="16200000">
            <a:off x="16545274" y="2795656"/>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xdr:cNvCxnSpPr/>
        </xdr:nvCxnSpPr>
        <xdr:spPr>
          <a:xfrm>
            <a:off x="16430623" y="2714624"/>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226220</xdr:colOff>
      <xdr:row>29</xdr:row>
      <xdr:rowOff>59528</xdr:rowOff>
    </xdr:from>
    <xdr:to>
      <xdr:col>35</xdr:col>
      <xdr:colOff>428626</xdr:colOff>
      <xdr:row>29</xdr:row>
      <xdr:rowOff>142872</xdr:rowOff>
    </xdr:to>
    <xdr:sp macro="" textlink="">
      <xdr:nvSpPr>
        <xdr:cNvPr id="53" name="Pentagon 52"/>
        <xdr:cNvSpPr/>
      </xdr:nvSpPr>
      <xdr:spPr>
        <a:xfrm>
          <a:off x="23981570" y="4631528"/>
          <a:ext cx="202406" cy="83344"/>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250033</xdr:colOff>
      <xdr:row>27</xdr:row>
      <xdr:rowOff>47622</xdr:rowOff>
    </xdr:from>
    <xdr:to>
      <xdr:col>35</xdr:col>
      <xdr:colOff>387193</xdr:colOff>
      <xdr:row>28</xdr:row>
      <xdr:rowOff>3173</xdr:rowOff>
    </xdr:to>
    <xdr:grpSp>
      <xdr:nvGrpSpPr>
        <xdr:cNvPr id="54" name="Group 53"/>
        <xdr:cNvGrpSpPr/>
      </xdr:nvGrpSpPr>
      <xdr:grpSpPr>
        <a:xfrm rot="10800000">
          <a:off x="23567233" y="4505322"/>
          <a:ext cx="137160" cy="117476"/>
          <a:chOff x="11549063" y="1904999"/>
          <a:chExt cx="214312" cy="198439"/>
        </a:xfrm>
      </xdr:grpSpPr>
      <xdr:cxnSp macro="">
        <xdr:nvCxnSpPr>
          <xdr:cNvPr id="55" name="Straight Connector 5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464355</xdr:colOff>
      <xdr:row>7</xdr:row>
      <xdr:rowOff>123819</xdr:rowOff>
    </xdr:from>
    <xdr:to>
      <xdr:col>13</xdr:col>
      <xdr:colOff>23812</xdr:colOff>
      <xdr:row>19</xdr:row>
      <xdr:rowOff>16663</xdr:rowOff>
    </xdr:to>
    <xdr:sp macro="" textlink="">
      <xdr:nvSpPr>
        <xdr:cNvPr id="58" name="Rounded Rectangle 57"/>
        <xdr:cNvSpPr/>
      </xdr:nvSpPr>
      <xdr:spPr>
        <a:xfrm>
          <a:off x="9103530" y="1457319"/>
          <a:ext cx="1264432" cy="2178844"/>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solidFill>
                <a:sysClr val="windowText" lastClr="000000"/>
              </a:solidFill>
            </a:rPr>
            <a:t>Pressurizing Gas</a:t>
          </a:r>
        </a:p>
        <a:p>
          <a:pPr algn="ctr"/>
          <a:r>
            <a:rPr lang="en-US" sz="1100">
              <a:solidFill>
                <a:sysClr val="windowText" lastClr="000000"/>
              </a:solidFill>
            </a:rPr>
            <a:t>(Nitrogen)</a:t>
          </a:r>
        </a:p>
      </xdr:txBody>
    </xdr:sp>
    <xdr:clientData/>
  </xdr:twoCellAnchor>
  <xdr:twoCellAnchor>
    <xdr:from>
      <xdr:col>12</xdr:col>
      <xdr:colOff>531019</xdr:colOff>
      <xdr:row>19</xdr:row>
      <xdr:rowOff>29372</xdr:rowOff>
    </xdr:from>
    <xdr:to>
      <xdr:col>12</xdr:col>
      <xdr:colOff>531019</xdr:colOff>
      <xdr:row>19</xdr:row>
      <xdr:rowOff>112731</xdr:rowOff>
    </xdr:to>
    <xdr:cxnSp macro="">
      <xdr:nvCxnSpPr>
        <xdr:cNvPr id="59" name="Straight Connector 58"/>
        <xdr:cNvCxnSpPr/>
      </xdr:nvCxnSpPr>
      <xdr:spPr>
        <a:xfrm rot="5400000">
          <a:off x="9738114" y="3690552"/>
          <a:ext cx="83359" cy="0"/>
        </a:xfrm>
        <a:prstGeom prst="line">
          <a:avLst/>
        </a:prstGeom>
        <a:ln w="635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481017</xdr:colOff>
      <xdr:row>19</xdr:row>
      <xdr:rowOff>109535</xdr:rowOff>
    </xdr:from>
    <xdr:to>
      <xdr:col>12</xdr:col>
      <xdr:colOff>577320</xdr:colOff>
      <xdr:row>20</xdr:row>
      <xdr:rowOff>85717</xdr:rowOff>
    </xdr:to>
    <xdr:grpSp>
      <xdr:nvGrpSpPr>
        <xdr:cNvPr id="60" name="Group 59"/>
        <xdr:cNvGrpSpPr/>
      </xdr:nvGrpSpPr>
      <xdr:grpSpPr>
        <a:xfrm rot="16200000">
          <a:off x="9527915" y="3292737"/>
          <a:ext cx="138107" cy="96303"/>
          <a:chOff x="4869656" y="2090744"/>
          <a:chExt cx="416719" cy="230974"/>
        </a:xfrm>
      </xdr:grpSpPr>
      <xdr:sp macro="" textlink="">
        <xdr:nvSpPr>
          <xdr:cNvPr id="61" name="Rectangle 60"/>
          <xdr:cNvSpPr/>
        </xdr:nvSpPr>
        <xdr:spPr>
          <a:xfrm>
            <a:off x="4869656" y="2095500"/>
            <a:ext cx="416719" cy="226218"/>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2" name="Straight Connector 61"/>
          <xdr:cNvCxnSpPr/>
        </xdr:nvCxnSpPr>
        <xdr:spPr>
          <a:xfrm rot="16200000" flipH="1">
            <a:off x="4845847" y="2208609"/>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xdr:cNvCxnSpPr/>
        </xdr:nvCxnSpPr>
        <xdr:spPr>
          <a:xfrm rot="16200000" flipH="1">
            <a:off x="4974435" y="2206231"/>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xdr:cNvCxnSpPr/>
        </xdr:nvCxnSpPr>
        <xdr:spPr>
          <a:xfrm rot="16200000" flipH="1">
            <a:off x="5079211" y="2203853"/>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587375</xdr:colOff>
      <xdr:row>19</xdr:row>
      <xdr:rowOff>184079</xdr:rowOff>
    </xdr:from>
    <xdr:to>
      <xdr:col>12</xdr:col>
      <xdr:colOff>685688</xdr:colOff>
      <xdr:row>19</xdr:row>
      <xdr:rowOff>184079</xdr:rowOff>
    </xdr:to>
    <xdr:cxnSp macro="">
      <xdr:nvCxnSpPr>
        <xdr:cNvPr id="65" name="Straight Connector 64"/>
        <xdr:cNvCxnSpPr/>
      </xdr:nvCxnSpPr>
      <xdr:spPr>
        <a:xfrm>
          <a:off x="9836150" y="3803579"/>
          <a:ext cx="98313" cy="0"/>
        </a:xfrm>
        <a:prstGeom prst="line">
          <a:avLst/>
        </a:prstGeom>
        <a:ln w="635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514350</xdr:colOff>
      <xdr:row>20</xdr:row>
      <xdr:rowOff>85726</xdr:rowOff>
    </xdr:from>
    <xdr:to>
      <xdr:col>12</xdr:col>
      <xdr:colOff>560069</xdr:colOff>
      <xdr:row>21</xdr:row>
      <xdr:rowOff>9526</xdr:rowOff>
    </xdr:to>
    <xdr:sp macro="" textlink="">
      <xdr:nvSpPr>
        <xdr:cNvPr id="66" name="Rectangle 65"/>
        <xdr:cNvSpPr/>
      </xdr:nvSpPr>
      <xdr:spPr>
        <a:xfrm>
          <a:off x="9763125" y="3895726"/>
          <a:ext cx="45719" cy="114300"/>
        </a:xfrm>
        <a:prstGeom prst="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276225</xdr:colOff>
      <xdr:row>31</xdr:row>
      <xdr:rowOff>28575</xdr:rowOff>
    </xdr:from>
    <xdr:to>
      <xdr:col>35</xdr:col>
      <xdr:colOff>321944</xdr:colOff>
      <xdr:row>31</xdr:row>
      <xdr:rowOff>142875</xdr:rowOff>
    </xdr:to>
    <xdr:sp macro="" textlink="">
      <xdr:nvSpPr>
        <xdr:cNvPr id="67" name="Rectangle 66"/>
        <xdr:cNvSpPr/>
      </xdr:nvSpPr>
      <xdr:spPr>
        <a:xfrm>
          <a:off x="24031575" y="4981575"/>
          <a:ext cx="45719" cy="114300"/>
        </a:xfrm>
        <a:prstGeom prst="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77561</xdr:colOff>
      <xdr:row>19</xdr:row>
      <xdr:rowOff>176853</xdr:rowOff>
    </xdr:from>
    <xdr:to>
      <xdr:col>12</xdr:col>
      <xdr:colOff>466613</xdr:colOff>
      <xdr:row>19</xdr:row>
      <xdr:rowOff>178668</xdr:rowOff>
    </xdr:to>
    <xdr:cxnSp macro="">
      <xdr:nvCxnSpPr>
        <xdr:cNvPr id="68" name="Straight Connector 67"/>
        <xdr:cNvCxnSpPr/>
      </xdr:nvCxnSpPr>
      <xdr:spPr>
        <a:xfrm>
          <a:off x="9326336" y="3796353"/>
          <a:ext cx="389052" cy="1815"/>
        </a:xfrm>
        <a:prstGeom prst="line">
          <a:avLst/>
        </a:prstGeom>
        <a:ln w="635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241016</xdr:colOff>
      <xdr:row>2</xdr:row>
      <xdr:rowOff>162947</xdr:rowOff>
    </xdr:from>
    <xdr:to>
      <xdr:col>11</xdr:col>
      <xdr:colOff>214313</xdr:colOff>
      <xdr:row>5</xdr:row>
      <xdr:rowOff>95251</xdr:rowOff>
    </xdr:to>
    <xdr:sp macro="" textlink="">
      <xdr:nvSpPr>
        <xdr:cNvPr id="69" name="TextBox 68"/>
        <xdr:cNvSpPr txBox="1"/>
      </xdr:nvSpPr>
      <xdr:spPr>
        <a:xfrm>
          <a:off x="6517991" y="543947"/>
          <a:ext cx="2335497" cy="503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Ninja Tank 3000PSI  62ci Tank w/ Regulator</a:t>
          </a:r>
          <a:r>
            <a:rPr lang="en-US" sz="1100" baseline="0"/>
            <a:t>.</a:t>
          </a:r>
          <a:endParaRPr lang="en-US" sz="1100"/>
        </a:p>
      </xdr:txBody>
    </xdr:sp>
    <xdr:clientData/>
  </xdr:twoCellAnchor>
  <xdr:twoCellAnchor>
    <xdr:from>
      <xdr:col>35</xdr:col>
      <xdr:colOff>219075</xdr:colOff>
      <xdr:row>32</xdr:row>
      <xdr:rowOff>160244</xdr:rowOff>
    </xdr:from>
    <xdr:to>
      <xdr:col>35</xdr:col>
      <xdr:colOff>419100</xdr:colOff>
      <xdr:row>34</xdr:row>
      <xdr:rowOff>97629</xdr:rowOff>
    </xdr:to>
    <xdr:grpSp>
      <xdr:nvGrpSpPr>
        <xdr:cNvPr id="70" name="Group 69"/>
        <xdr:cNvGrpSpPr/>
      </xdr:nvGrpSpPr>
      <xdr:grpSpPr>
        <a:xfrm>
          <a:off x="23536275" y="5427569"/>
          <a:ext cx="200025" cy="261235"/>
          <a:chOff x="19627663" y="4179794"/>
          <a:chExt cx="200025" cy="299335"/>
        </a:xfrm>
      </xdr:grpSpPr>
      <xdr:sp macro="" textlink="">
        <xdr:nvSpPr>
          <xdr:cNvPr id="71" name="Rectangle 70"/>
          <xdr:cNvSpPr/>
        </xdr:nvSpPr>
        <xdr:spPr>
          <a:xfrm>
            <a:off x="19660721" y="4179794"/>
            <a:ext cx="134470" cy="207309"/>
          </a:xfrm>
          <a:prstGeom prst="rect">
            <a:avLst/>
          </a:prstGeom>
          <a:solidFill>
            <a:schemeClr val="accent6">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72" name="Chevron 71"/>
          <xdr:cNvSpPr/>
        </xdr:nvSpPr>
        <xdr:spPr>
          <a:xfrm rot="5400000">
            <a:off x="19637188" y="4288629"/>
            <a:ext cx="180975" cy="200025"/>
          </a:xfrm>
          <a:prstGeom prst="chevron">
            <a:avLst/>
          </a:prstGeom>
          <a:solidFill>
            <a:schemeClr val="accent6">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12</xdr:col>
      <xdr:colOff>457455</xdr:colOff>
      <xdr:row>20</xdr:row>
      <xdr:rowOff>154998</xdr:rowOff>
    </xdr:from>
    <xdr:to>
      <xdr:col>12</xdr:col>
      <xdr:colOff>607003</xdr:colOff>
      <xdr:row>22</xdr:row>
      <xdr:rowOff>494</xdr:rowOff>
    </xdr:to>
    <xdr:grpSp>
      <xdr:nvGrpSpPr>
        <xdr:cNvPr id="73" name="Group 72"/>
        <xdr:cNvGrpSpPr/>
      </xdr:nvGrpSpPr>
      <xdr:grpSpPr>
        <a:xfrm rot="10800000">
          <a:off x="9525255" y="3479223"/>
          <a:ext cx="149548" cy="169346"/>
          <a:chOff x="19627663" y="4179794"/>
          <a:chExt cx="200025" cy="299335"/>
        </a:xfrm>
      </xdr:grpSpPr>
      <xdr:sp macro="" textlink="">
        <xdr:nvSpPr>
          <xdr:cNvPr id="74" name="Rectangle 73"/>
          <xdr:cNvSpPr/>
        </xdr:nvSpPr>
        <xdr:spPr>
          <a:xfrm>
            <a:off x="19660721" y="4179794"/>
            <a:ext cx="134470" cy="207309"/>
          </a:xfrm>
          <a:prstGeom prst="rect">
            <a:avLst/>
          </a:prstGeom>
          <a:solidFill>
            <a:schemeClr val="accent6">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75" name="Chevron 74"/>
          <xdr:cNvSpPr/>
        </xdr:nvSpPr>
        <xdr:spPr>
          <a:xfrm rot="5400000">
            <a:off x="19637188" y="4288629"/>
            <a:ext cx="180975" cy="200025"/>
          </a:xfrm>
          <a:prstGeom prst="chevron">
            <a:avLst/>
          </a:prstGeom>
          <a:solidFill>
            <a:schemeClr val="accent6">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tx1"/>
              </a:solidFill>
            </a:endParaRPr>
          </a:p>
        </xdr:txBody>
      </xdr:sp>
    </xdr:grpSp>
    <xdr:clientData/>
  </xdr:twoCellAnchor>
  <xdr:twoCellAnchor>
    <xdr:from>
      <xdr:col>12</xdr:col>
      <xdr:colOff>517764</xdr:colOff>
      <xdr:row>21</xdr:row>
      <xdr:rowOff>113437</xdr:rowOff>
    </xdr:from>
    <xdr:to>
      <xdr:col>12</xdr:col>
      <xdr:colOff>563484</xdr:colOff>
      <xdr:row>22</xdr:row>
      <xdr:rowOff>67253</xdr:rowOff>
    </xdr:to>
    <xdr:grpSp>
      <xdr:nvGrpSpPr>
        <xdr:cNvPr id="76" name="Group 75"/>
        <xdr:cNvGrpSpPr/>
      </xdr:nvGrpSpPr>
      <xdr:grpSpPr>
        <a:xfrm rot="16200000">
          <a:off x="9550553" y="3634598"/>
          <a:ext cx="115741" cy="45720"/>
          <a:chOff x="11549063" y="1904999"/>
          <a:chExt cx="214312" cy="198439"/>
        </a:xfrm>
      </xdr:grpSpPr>
      <xdr:cxnSp macro="">
        <xdr:nvCxnSpPr>
          <xdr:cNvPr id="77" name="Straight Connector 76"/>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178383</xdr:colOff>
      <xdr:row>35</xdr:row>
      <xdr:rowOff>91788</xdr:rowOff>
    </xdr:from>
    <xdr:to>
      <xdr:col>35</xdr:col>
      <xdr:colOff>441614</xdr:colOff>
      <xdr:row>35</xdr:row>
      <xdr:rowOff>155864</xdr:rowOff>
    </xdr:to>
    <xdr:grpSp>
      <xdr:nvGrpSpPr>
        <xdr:cNvPr id="80" name="Group 79"/>
        <xdr:cNvGrpSpPr/>
      </xdr:nvGrpSpPr>
      <xdr:grpSpPr>
        <a:xfrm>
          <a:off x="23495583" y="5844888"/>
          <a:ext cx="263231" cy="64076"/>
          <a:chOff x="16085133" y="3919106"/>
          <a:chExt cx="826072" cy="142008"/>
        </a:xfrm>
      </xdr:grpSpPr>
      <xdr:sp macro="" textlink="">
        <xdr:nvSpPr>
          <xdr:cNvPr id="81" name="Flowchart: Delay 80"/>
          <xdr:cNvSpPr/>
        </xdr:nvSpPr>
        <xdr:spPr>
          <a:xfrm>
            <a:off x="16495568" y="3922568"/>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2" name="Flowchart: Delay 81"/>
          <xdr:cNvSpPr/>
        </xdr:nvSpPr>
        <xdr:spPr>
          <a:xfrm rot="10800000">
            <a:off x="16085133" y="3919106"/>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35</xdr:col>
      <xdr:colOff>44450</xdr:colOff>
      <xdr:row>37</xdr:row>
      <xdr:rowOff>82550</xdr:rowOff>
    </xdr:from>
    <xdr:to>
      <xdr:col>36</xdr:col>
      <xdr:colOff>6350</xdr:colOff>
      <xdr:row>37</xdr:row>
      <xdr:rowOff>133350</xdr:rowOff>
    </xdr:to>
    <xdr:grpSp>
      <xdr:nvGrpSpPr>
        <xdr:cNvPr id="83" name="Group 82"/>
        <xdr:cNvGrpSpPr/>
      </xdr:nvGrpSpPr>
      <xdr:grpSpPr>
        <a:xfrm>
          <a:off x="23361650" y="6159500"/>
          <a:ext cx="571500" cy="50800"/>
          <a:chOff x="19397518" y="5035550"/>
          <a:chExt cx="568037" cy="50800"/>
        </a:xfrm>
      </xdr:grpSpPr>
      <xdr:cxnSp macro="">
        <xdr:nvCxnSpPr>
          <xdr:cNvPr id="84" name="Straight Connector 83"/>
          <xdr:cNvCxnSpPr/>
        </xdr:nvCxnSpPr>
        <xdr:spPr>
          <a:xfrm rot="10800000">
            <a:off x="19556268" y="5060950"/>
            <a:ext cx="26035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85" name="Pentagon 84"/>
          <xdr:cNvSpPr/>
        </xdr:nvSpPr>
        <xdr:spPr>
          <a:xfrm>
            <a:off x="19816618" y="5035550"/>
            <a:ext cx="148937"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6" name="Pentagon 85"/>
          <xdr:cNvSpPr/>
        </xdr:nvSpPr>
        <xdr:spPr>
          <a:xfrm rot="10800000">
            <a:off x="19397518" y="5035550"/>
            <a:ext cx="15240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12</xdr:col>
      <xdr:colOff>102055</xdr:colOff>
      <xdr:row>19</xdr:row>
      <xdr:rowOff>176894</xdr:rowOff>
    </xdr:from>
    <xdr:to>
      <xdr:col>13</xdr:col>
      <xdr:colOff>102049</xdr:colOff>
      <xdr:row>20</xdr:row>
      <xdr:rowOff>156482</xdr:rowOff>
    </xdr:to>
    <xdr:cxnSp macro="">
      <xdr:nvCxnSpPr>
        <xdr:cNvPr id="87" name="Straight Arrow Connector 86"/>
        <xdr:cNvCxnSpPr>
          <a:stCxn id="88" idx="1"/>
        </xdr:cNvCxnSpPr>
      </xdr:nvCxnSpPr>
      <xdr:spPr>
        <a:xfrm flipH="1" flipV="1">
          <a:off x="9350830" y="3796394"/>
          <a:ext cx="1095369" cy="1700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102049</xdr:colOff>
      <xdr:row>19</xdr:row>
      <xdr:rowOff>108856</xdr:rowOff>
    </xdr:from>
    <xdr:to>
      <xdr:col>15</xdr:col>
      <xdr:colOff>299357</xdr:colOff>
      <xdr:row>22</xdr:row>
      <xdr:rowOff>13607</xdr:rowOff>
    </xdr:to>
    <xdr:sp macro="" textlink="">
      <xdr:nvSpPr>
        <xdr:cNvPr id="88" name="TextBox 87"/>
        <xdr:cNvSpPr txBox="1"/>
      </xdr:nvSpPr>
      <xdr:spPr>
        <a:xfrm>
          <a:off x="10446199" y="3728356"/>
          <a:ext cx="1416508"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Air Fill Valve on Ninja</a:t>
          </a:r>
          <a:r>
            <a:rPr lang="en-US" sz="1100" baseline="0"/>
            <a:t> Tank (3000 PSI)</a:t>
          </a:r>
          <a:endParaRPr lang="en-US" sz="1100"/>
        </a:p>
      </xdr:txBody>
    </xdr:sp>
    <xdr:clientData/>
  </xdr:twoCellAnchor>
  <xdr:twoCellAnchor>
    <xdr:from>
      <xdr:col>10</xdr:col>
      <xdr:colOff>787173</xdr:colOff>
      <xdr:row>32</xdr:row>
      <xdr:rowOff>115660</xdr:rowOff>
    </xdr:from>
    <xdr:to>
      <xdr:col>16</xdr:col>
      <xdr:colOff>185396</xdr:colOff>
      <xdr:row>36</xdr:row>
      <xdr:rowOff>9357</xdr:rowOff>
    </xdr:to>
    <xdr:sp macro="" textlink="">
      <xdr:nvSpPr>
        <xdr:cNvPr id="89" name="TextBox 88"/>
        <xdr:cNvSpPr txBox="1"/>
      </xdr:nvSpPr>
      <xdr:spPr>
        <a:xfrm>
          <a:off x="8395267" y="5348457"/>
          <a:ext cx="3505879" cy="536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Ninja Stainless Steel Flexible</a:t>
          </a:r>
          <a:r>
            <a:rPr lang="en-US" sz="1100" baseline="0">
              <a:solidFill>
                <a:schemeClr val="dk1"/>
              </a:solidFill>
              <a:latin typeface="+mn-lt"/>
              <a:ea typeface="+mn-ea"/>
              <a:cs typeface="+mn-cs"/>
            </a:rPr>
            <a:t> Tubing. Rated at 3000psi (Burst at 12000 PSI). Male/Male 1/8" NPT</a:t>
          </a:r>
        </a:p>
        <a:p>
          <a:r>
            <a:rPr lang="en-US" sz="1100" baseline="0">
              <a:solidFill>
                <a:schemeClr val="dk1"/>
              </a:solidFill>
              <a:latin typeface="+mn-lt"/>
              <a:ea typeface="+mn-ea"/>
              <a:cs typeface="+mn-cs"/>
            </a:rPr>
            <a:t>(various lengths)</a:t>
          </a:r>
        </a:p>
      </xdr:txBody>
    </xdr:sp>
    <xdr:clientData/>
  </xdr:twoCellAnchor>
  <xdr:twoCellAnchor>
    <xdr:from>
      <xdr:col>8</xdr:col>
      <xdr:colOff>427944</xdr:colOff>
      <xdr:row>7</xdr:row>
      <xdr:rowOff>95250</xdr:rowOff>
    </xdr:from>
    <xdr:to>
      <xdr:col>10</xdr:col>
      <xdr:colOff>714375</xdr:colOff>
      <xdr:row>10</xdr:row>
      <xdr:rowOff>133350</xdr:rowOff>
    </xdr:to>
    <xdr:sp macro="" textlink="">
      <xdr:nvSpPr>
        <xdr:cNvPr id="90" name="TextBox 89"/>
        <xdr:cNvSpPr txBox="1"/>
      </xdr:nvSpPr>
      <xdr:spPr>
        <a:xfrm>
          <a:off x="6095319" y="1428750"/>
          <a:ext cx="2420031"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t>4464K381 $3.49 </a:t>
          </a:r>
          <a:r>
            <a:rPr lang="en-US" sz="1100">
              <a:solidFill>
                <a:schemeClr val="dk1"/>
              </a:solidFill>
              <a:latin typeface="+mn-lt"/>
              <a:ea typeface="+mn-ea"/>
              <a:cs typeface="+mn-cs"/>
            </a:rPr>
            <a:t> McMaster. </a:t>
          </a:r>
          <a:r>
            <a:rPr lang="en-US"/>
            <a:t>Stainless Steel Bushing.  1/4" Male  x  1/8" Female.</a:t>
          </a:r>
          <a:r>
            <a:rPr lang="en-US" baseline="0"/>
            <a:t> </a:t>
          </a:r>
          <a:r>
            <a:rPr lang="en-US"/>
            <a:t>3000 psi @ 72° F.</a:t>
          </a:r>
        </a:p>
      </xdr:txBody>
    </xdr:sp>
    <xdr:clientData/>
  </xdr:twoCellAnchor>
  <xdr:twoCellAnchor>
    <xdr:from>
      <xdr:col>7</xdr:col>
      <xdr:colOff>422151</xdr:colOff>
      <xdr:row>32</xdr:row>
      <xdr:rowOff>43880</xdr:rowOff>
    </xdr:from>
    <xdr:to>
      <xdr:col>9</xdr:col>
      <xdr:colOff>1505663</xdr:colOff>
      <xdr:row>34</xdr:row>
      <xdr:rowOff>157656</xdr:rowOff>
    </xdr:to>
    <xdr:sp macro="" textlink="">
      <xdr:nvSpPr>
        <xdr:cNvPr id="91" name="TextBox 90"/>
        <xdr:cNvSpPr txBox="1"/>
      </xdr:nvSpPr>
      <xdr:spPr>
        <a:xfrm>
          <a:off x="5125530" y="5377880"/>
          <a:ext cx="2482702" cy="442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Mcmaster.</a:t>
          </a:r>
          <a:r>
            <a:rPr lang="en-US" sz="1100" baseline="0">
              <a:solidFill>
                <a:schemeClr val="dk1"/>
              </a:solidFill>
              <a:latin typeface="+mn-lt"/>
              <a:ea typeface="+mn-ea"/>
              <a:cs typeface="+mn-cs"/>
            </a:rPr>
            <a:t> </a:t>
          </a:r>
          <a:r>
            <a:rPr lang="en-US"/>
            <a:t>Brass 1/8"NPT F/F</a:t>
          </a:r>
          <a:r>
            <a:rPr lang="en-US" baseline="0"/>
            <a:t> Ball Valve </a:t>
          </a:r>
          <a:r>
            <a:rPr lang="en-US"/>
            <a:t>1000 psi @ 70° F</a:t>
          </a:r>
        </a:p>
      </xdr:txBody>
    </xdr:sp>
    <xdr:clientData/>
  </xdr:twoCellAnchor>
  <xdr:twoCellAnchor>
    <xdr:from>
      <xdr:col>35</xdr:col>
      <xdr:colOff>259773</xdr:colOff>
      <xdr:row>39</xdr:row>
      <xdr:rowOff>0</xdr:rowOff>
    </xdr:from>
    <xdr:to>
      <xdr:col>35</xdr:col>
      <xdr:colOff>399324</xdr:colOff>
      <xdr:row>39</xdr:row>
      <xdr:rowOff>133873</xdr:rowOff>
    </xdr:to>
    <xdr:grpSp>
      <xdr:nvGrpSpPr>
        <xdr:cNvPr id="93" name="Group 92"/>
        <xdr:cNvGrpSpPr/>
      </xdr:nvGrpSpPr>
      <xdr:grpSpPr>
        <a:xfrm>
          <a:off x="23576973" y="6400800"/>
          <a:ext cx="139551" cy="133873"/>
          <a:chOff x="5012011" y="4068536"/>
          <a:chExt cx="139551" cy="133873"/>
        </a:xfrm>
      </xdr:grpSpPr>
      <xdr:cxnSp macro="">
        <xdr:nvCxnSpPr>
          <xdr:cNvPr id="94" name="Straight Connector 93"/>
          <xdr:cNvCxnSpPr/>
        </xdr:nvCxnSpPr>
        <xdr:spPr>
          <a:xfrm rot="5400000">
            <a:off x="5073935" y="4138401"/>
            <a:ext cx="128016" cy="0"/>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xdr:cNvCxnSpPr/>
        </xdr:nvCxnSpPr>
        <xdr:spPr>
          <a:xfrm rot="10800000">
            <a:off x="5012011" y="4187964"/>
            <a:ext cx="137160" cy="1"/>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xdr:cNvCxnSpPr/>
        </xdr:nvCxnSpPr>
        <xdr:spPr>
          <a:xfrm rot="5400000">
            <a:off x="4957478" y="4135102"/>
            <a:ext cx="128016" cy="2247"/>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xdr:cNvCxnSpPr/>
        </xdr:nvCxnSpPr>
        <xdr:spPr>
          <a:xfrm rot="10800000" flipH="1">
            <a:off x="5096698" y="4068536"/>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xdr:cNvCxnSpPr/>
        </xdr:nvCxnSpPr>
        <xdr:spPr>
          <a:xfrm rot="10800000" flipH="1">
            <a:off x="5015288" y="4071248"/>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261938</xdr:colOff>
      <xdr:row>41</xdr:row>
      <xdr:rowOff>1588</xdr:rowOff>
    </xdr:from>
    <xdr:to>
      <xdr:col>35</xdr:col>
      <xdr:colOff>373244</xdr:colOff>
      <xdr:row>41</xdr:row>
      <xdr:rowOff>158751</xdr:rowOff>
    </xdr:to>
    <xdr:grpSp>
      <xdr:nvGrpSpPr>
        <xdr:cNvPr id="99" name="Group 98"/>
        <xdr:cNvGrpSpPr/>
      </xdr:nvGrpSpPr>
      <xdr:grpSpPr>
        <a:xfrm>
          <a:off x="23579138" y="6726238"/>
          <a:ext cx="111306" cy="157163"/>
          <a:chOff x="6415980" y="2404798"/>
          <a:chExt cx="111306" cy="185738"/>
        </a:xfrm>
      </xdr:grpSpPr>
      <xdr:cxnSp macro="">
        <xdr:nvCxnSpPr>
          <xdr:cNvPr id="100" name="Straight Connector 99"/>
          <xdr:cNvCxnSpPr/>
        </xdr:nvCxnSpPr>
        <xdr:spPr>
          <a:xfrm rot="5400000">
            <a:off x="6422340" y="2499096"/>
            <a:ext cx="182880"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xdr:cNvCxnSpPr/>
        </xdr:nvCxnSpPr>
        <xdr:spPr>
          <a:xfrm rot="5400000">
            <a:off x="6328805" y="2495729"/>
            <a:ext cx="182880" cy="1017"/>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xdr:cNvCxnSpPr/>
        </xdr:nvCxnSpPr>
        <xdr:spPr>
          <a:xfrm>
            <a:off x="6415980" y="2413356"/>
            <a:ext cx="109728"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xdr:cNvCxnSpPr/>
        </xdr:nvCxnSpPr>
        <xdr:spPr>
          <a:xfrm>
            <a:off x="6417558" y="2581632"/>
            <a:ext cx="109728"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189704</xdr:colOff>
      <xdr:row>41</xdr:row>
      <xdr:rowOff>86932</xdr:rowOff>
    </xdr:from>
    <xdr:to>
      <xdr:col>10</xdr:col>
      <xdr:colOff>675716</xdr:colOff>
      <xdr:row>41</xdr:row>
      <xdr:rowOff>159755</xdr:rowOff>
    </xdr:to>
    <xdr:grpSp>
      <xdr:nvGrpSpPr>
        <xdr:cNvPr id="858" name="Group 857"/>
        <xdr:cNvGrpSpPr/>
      </xdr:nvGrpSpPr>
      <xdr:grpSpPr>
        <a:xfrm rot="16200000">
          <a:off x="8016298" y="6604988"/>
          <a:ext cx="72823" cy="486012"/>
          <a:chOff x="8939493" y="6687051"/>
          <a:chExt cx="72823" cy="486012"/>
        </a:xfrm>
      </xdr:grpSpPr>
      <xdr:sp macro="" textlink="">
        <xdr:nvSpPr>
          <xdr:cNvPr id="116" name="Pentagon 115"/>
          <xdr:cNvSpPr/>
        </xdr:nvSpPr>
        <xdr:spPr>
          <a:xfrm rot="16200000">
            <a:off x="8894315" y="6737444"/>
            <a:ext cx="16202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17" name="Isosceles Triangle 116"/>
          <xdr:cNvSpPr/>
        </xdr:nvSpPr>
        <xdr:spPr>
          <a:xfrm rot="10800000">
            <a:off x="8939493" y="6860360"/>
            <a:ext cx="72823" cy="312703"/>
          </a:xfrm>
          <a:prstGeom prst="triangle">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590550</xdr:colOff>
      <xdr:row>7</xdr:row>
      <xdr:rowOff>131254</xdr:rowOff>
    </xdr:from>
    <xdr:to>
      <xdr:col>8</xdr:col>
      <xdr:colOff>51368</xdr:colOff>
      <xdr:row>15</xdr:row>
      <xdr:rowOff>106143</xdr:rowOff>
    </xdr:to>
    <xdr:sp macro="" textlink="">
      <xdr:nvSpPr>
        <xdr:cNvPr id="121" name="Rounded Rectangle 120"/>
        <xdr:cNvSpPr/>
      </xdr:nvSpPr>
      <xdr:spPr>
        <a:xfrm>
          <a:off x="4714875" y="1464754"/>
          <a:ext cx="1003868" cy="1498889"/>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aseline="0">
              <a:solidFill>
                <a:sysClr val="windowText" lastClr="000000"/>
              </a:solidFill>
            </a:rPr>
            <a:t>Fuel Tank</a:t>
          </a:r>
          <a:endParaRPr lang="en-US" sz="1100">
            <a:solidFill>
              <a:sysClr val="windowText" lastClr="000000"/>
            </a:solidFill>
          </a:endParaRPr>
        </a:p>
      </xdr:txBody>
    </xdr:sp>
    <xdr:clientData/>
  </xdr:twoCellAnchor>
  <xdr:twoCellAnchor>
    <xdr:from>
      <xdr:col>7</xdr:col>
      <xdr:colOff>257176</xdr:colOff>
      <xdr:row>15</xdr:row>
      <xdr:rowOff>60348</xdr:rowOff>
    </xdr:from>
    <xdr:to>
      <xdr:col>7</xdr:col>
      <xdr:colOff>384177</xdr:colOff>
      <xdr:row>16</xdr:row>
      <xdr:rowOff>7008</xdr:rowOff>
    </xdr:to>
    <xdr:grpSp>
      <xdr:nvGrpSpPr>
        <xdr:cNvPr id="122" name="Group 121"/>
        <xdr:cNvGrpSpPr/>
      </xdr:nvGrpSpPr>
      <xdr:grpSpPr>
        <a:xfrm rot="16200000">
          <a:off x="4962209" y="2565740"/>
          <a:ext cx="108585" cy="127001"/>
          <a:chOff x="11549063" y="1904999"/>
          <a:chExt cx="214312" cy="198439"/>
        </a:xfrm>
      </xdr:grpSpPr>
      <xdr:cxnSp macro="">
        <xdr:nvCxnSpPr>
          <xdr:cNvPr id="123" name="Straight Connector 122"/>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25" name="Straight Connector 124"/>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302673</xdr:colOff>
      <xdr:row>15</xdr:row>
      <xdr:rowOff>90342</xdr:rowOff>
    </xdr:from>
    <xdr:to>
      <xdr:col>7</xdr:col>
      <xdr:colOff>351065</xdr:colOff>
      <xdr:row>16</xdr:row>
      <xdr:rowOff>60197</xdr:rowOff>
    </xdr:to>
    <xdr:sp macro="" textlink="">
      <xdr:nvSpPr>
        <xdr:cNvPr id="126" name="Pentagon 125"/>
        <xdr:cNvSpPr/>
      </xdr:nvSpPr>
      <xdr:spPr>
        <a:xfrm rot="16200000">
          <a:off x="5123491" y="3003824"/>
          <a:ext cx="160355" cy="4839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256434</xdr:colOff>
      <xdr:row>20</xdr:row>
      <xdr:rowOff>106356</xdr:rowOff>
    </xdr:from>
    <xdr:to>
      <xdr:col>7</xdr:col>
      <xdr:colOff>402734</xdr:colOff>
      <xdr:row>21</xdr:row>
      <xdr:rowOff>129514</xdr:rowOff>
    </xdr:to>
    <xdr:grpSp>
      <xdr:nvGrpSpPr>
        <xdr:cNvPr id="127" name="Group 126"/>
        <xdr:cNvGrpSpPr/>
      </xdr:nvGrpSpPr>
      <xdr:grpSpPr>
        <a:xfrm>
          <a:off x="4952259" y="3430581"/>
          <a:ext cx="146300" cy="185083"/>
          <a:chOff x="5136596" y="3916356"/>
          <a:chExt cx="146300" cy="213658"/>
        </a:xfrm>
      </xdr:grpSpPr>
      <xdr:grpSp>
        <xdr:nvGrpSpPr>
          <xdr:cNvPr id="128" name="Group 127"/>
          <xdr:cNvGrpSpPr/>
        </xdr:nvGrpSpPr>
        <xdr:grpSpPr>
          <a:xfrm rot="16200000">
            <a:off x="5147037" y="4021573"/>
            <a:ext cx="107308" cy="109573"/>
            <a:chOff x="11549063" y="1904999"/>
            <a:chExt cx="214312" cy="198439"/>
          </a:xfrm>
        </xdr:grpSpPr>
        <xdr:cxnSp macro="">
          <xdr:nvCxnSpPr>
            <xdr:cNvPr id="135" name="Straight Connector 13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129" name="Group 128"/>
          <xdr:cNvGrpSpPr/>
        </xdr:nvGrpSpPr>
        <xdr:grpSpPr>
          <a:xfrm>
            <a:off x="5136596" y="3916356"/>
            <a:ext cx="146300" cy="130191"/>
            <a:chOff x="5003895" y="3916356"/>
            <a:chExt cx="146300" cy="130191"/>
          </a:xfrm>
        </xdr:grpSpPr>
        <xdr:cxnSp macro="">
          <xdr:nvCxnSpPr>
            <xdr:cNvPr id="130" name="Straight Connector 129"/>
            <xdr:cNvCxnSpPr/>
          </xdr:nvCxnSpPr>
          <xdr:spPr>
            <a:xfrm rot="5400000">
              <a:off x="5067555" y="3982539"/>
              <a:ext cx="128016" cy="0"/>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31" name="Straight Connector 130"/>
            <xdr:cNvCxnSpPr/>
          </xdr:nvCxnSpPr>
          <xdr:spPr>
            <a:xfrm rot="10800000">
              <a:off x="5005631" y="4032102"/>
              <a:ext cx="137160" cy="1"/>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32" name="Straight Connector 131"/>
            <xdr:cNvCxnSpPr/>
          </xdr:nvCxnSpPr>
          <xdr:spPr>
            <a:xfrm rot="5400000">
              <a:off x="4951098" y="3979240"/>
              <a:ext cx="128016" cy="2247"/>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33" name="Straight Connector 132"/>
            <xdr:cNvCxnSpPr/>
          </xdr:nvCxnSpPr>
          <xdr:spPr>
            <a:xfrm rot="10800000" flipH="1">
              <a:off x="5095331" y="3922700"/>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xdr:cNvCxnSpPr/>
          </xdr:nvCxnSpPr>
          <xdr:spPr>
            <a:xfrm rot="10800000" flipH="1">
              <a:off x="5003895" y="3920399"/>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256434</xdr:colOff>
      <xdr:row>19</xdr:row>
      <xdr:rowOff>134931</xdr:rowOff>
    </xdr:from>
    <xdr:to>
      <xdr:col>7</xdr:col>
      <xdr:colOff>402734</xdr:colOff>
      <xdr:row>20</xdr:row>
      <xdr:rowOff>74622</xdr:rowOff>
    </xdr:to>
    <xdr:grpSp>
      <xdr:nvGrpSpPr>
        <xdr:cNvPr id="138" name="Group 137"/>
        <xdr:cNvGrpSpPr/>
      </xdr:nvGrpSpPr>
      <xdr:grpSpPr>
        <a:xfrm rot="10800000">
          <a:off x="4952259" y="3297231"/>
          <a:ext cx="146300" cy="101616"/>
          <a:chOff x="5003895" y="3916356"/>
          <a:chExt cx="146300" cy="130191"/>
        </a:xfrm>
      </xdr:grpSpPr>
      <xdr:cxnSp macro="">
        <xdr:nvCxnSpPr>
          <xdr:cNvPr id="139" name="Straight Connector 138"/>
          <xdr:cNvCxnSpPr/>
        </xdr:nvCxnSpPr>
        <xdr:spPr>
          <a:xfrm rot="5400000">
            <a:off x="5067555" y="3982539"/>
            <a:ext cx="128016" cy="0"/>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40" name="Straight Connector 139"/>
          <xdr:cNvCxnSpPr/>
        </xdr:nvCxnSpPr>
        <xdr:spPr>
          <a:xfrm rot="10800000">
            <a:off x="5005631" y="4032102"/>
            <a:ext cx="137160" cy="1"/>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41" name="Straight Connector 140"/>
          <xdr:cNvCxnSpPr/>
        </xdr:nvCxnSpPr>
        <xdr:spPr>
          <a:xfrm rot="5400000">
            <a:off x="4951098" y="3979240"/>
            <a:ext cx="128016" cy="2247"/>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xdr:cNvCxnSpPr/>
        </xdr:nvCxnSpPr>
        <xdr:spPr>
          <a:xfrm rot="10800000" flipH="1">
            <a:off x="5095331" y="3922700"/>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cxnSp macro="">
        <xdr:nvCxnSpPr>
          <xdr:cNvPr id="143" name="Straight Connector 142"/>
          <xdr:cNvCxnSpPr/>
        </xdr:nvCxnSpPr>
        <xdr:spPr>
          <a:xfrm rot="10800000" flipH="1">
            <a:off x="5003895" y="3920399"/>
            <a:ext cx="54864" cy="2"/>
          </a:xfrm>
          <a:prstGeom prst="line">
            <a:avLst/>
          </a:prstGeom>
          <a:ln w="25400">
            <a:solidFill>
              <a:schemeClr val="accent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264107</xdr:colOff>
      <xdr:row>19</xdr:row>
      <xdr:rowOff>16881</xdr:rowOff>
    </xdr:from>
    <xdr:to>
      <xdr:col>7</xdr:col>
      <xdr:colOff>391108</xdr:colOff>
      <xdr:row>19</xdr:row>
      <xdr:rowOff>154041</xdr:rowOff>
    </xdr:to>
    <xdr:grpSp>
      <xdr:nvGrpSpPr>
        <xdr:cNvPr id="144" name="Group 143"/>
        <xdr:cNvGrpSpPr/>
      </xdr:nvGrpSpPr>
      <xdr:grpSpPr>
        <a:xfrm rot="5400000">
          <a:off x="4954853" y="3184260"/>
          <a:ext cx="137160" cy="127001"/>
          <a:chOff x="11549063" y="1904999"/>
          <a:chExt cx="214312" cy="198439"/>
        </a:xfrm>
      </xdr:grpSpPr>
      <xdr:cxnSp macro="">
        <xdr:nvCxnSpPr>
          <xdr:cNvPr id="145" name="Straight Connector 14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46" name="Straight Connector 14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297658</xdr:colOff>
      <xdr:row>18</xdr:row>
      <xdr:rowOff>137432</xdr:rowOff>
    </xdr:from>
    <xdr:to>
      <xdr:col>7</xdr:col>
      <xdr:colOff>371475</xdr:colOff>
      <xdr:row>19</xdr:row>
      <xdr:rowOff>126201</xdr:rowOff>
    </xdr:to>
    <xdr:sp macro="" textlink="">
      <xdr:nvSpPr>
        <xdr:cNvPr id="148" name="Pentagon 147"/>
        <xdr:cNvSpPr/>
      </xdr:nvSpPr>
      <xdr:spPr>
        <a:xfrm rot="5400000">
          <a:off x="5121732" y="3619158"/>
          <a:ext cx="179269" cy="73817"/>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200895</xdr:colOff>
      <xdr:row>17</xdr:row>
      <xdr:rowOff>36369</xdr:rowOff>
    </xdr:from>
    <xdr:to>
      <xdr:col>7</xdr:col>
      <xdr:colOff>330743</xdr:colOff>
      <xdr:row>19</xdr:row>
      <xdr:rowOff>19560</xdr:rowOff>
    </xdr:to>
    <xdr:grpSp>
      <xdr:nvGrpSpPr>
        <xdr:cNvPr id="149" name="Group 148"/>
        <xdr:cNvGrpSpPr/>
      </xdr:nvGrpSpPr>
      <xdr:grpSpPr>
        <a:xfrm rot="16200000">
          <a:off x="4808123" y="2963416"/>
          <a:ext cx="307041" cy="129848"/>
          <a:chOff x="4356988" y="4795137"/>
          <a:chExt cx="364191" cy="129848"/>
        </a:xfrm>
      </xdr:grpSpPr>
      <xdr:cxnSp macro="">
        <xdr:nvCxnSpPr>
          <xdr:cNvPr id="150" name="Straight Connector 149"/>
          <xdr:cNvCxnSpPr/>
        </xdr:nvCxnSpPr>
        <xdr:spPr>
          <a:xfrm rot="5400000">
            <a:off x="4508896" y="4843953"/>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xdr:cNvCxnSpPr/>
        </xdr:nvCxnSpPr>
        <xdr:spPr>
          <a:xfrm>
            <a:off x="4356988" y="4924985"/>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318408</xdr:colOff>
      <xdr:row>8</xdr:row>
      <xdr:rowOff>17770</xdr:rowOff>
    </xdr:from>
    <xdr:to>
      <xdr:col>7</xdr:col>
      <xdr:colOff>344506</xdr:colOff>
      <xdr:row>21</xdr:row>
      <xdr:rowOff>10150</xdr:rowOff>
    </xdr:to>
    <xdr:grpSp>
      <xdr:nvGrpSpPr>
        <xdr:cNvPr id="152" name="Group 151"/>
        <xdr:cNvGrpSpPr/>
      </xdr:nvGrpSpPr>
      <xdr:grpSpPr>
        <a:xfrm>
          <a:off x="5014233" y="1398895"/>
          <a:ext cx="26098" cy="2097405"/>
          <a:chOff x="5022415" y="2686835"/>
          <a:chExt cx="26098" cy="1668382"/>
        </a:xfrm>
      </xdr:grpSpPr>
      <xdr:cxnSp macro="">
        <xdr:nvCxnSpPr>
          <xdr:cNvPr id="153" name="Straight Connector 152"/>
          <xdr:cNvCxnSpPr/>
        </xdr:nvCxnSpPr>
        <xdr:spPr>
          <a:xfrm flipH="1" flipV="1">
            <a:off x="5022415" y="2686835"/>
            <a:ext cx="1243" cy="1656021"/>
          </a:xfrm>
          <a:prstGeom prst="line">
            <a:avLst/>
          </a:prstGeom>
          <a:ln w="952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xdr:cNvCxnSpPr/>
        </xdr:nvCxnSpPr>
        <xdr:spPr>
          <a:xfrm flipH="1" flipV="1">
            <a:off x="5046703" y="2699075"/>
            <a:ext cx="1810" cy="1656142"/>
          </a:xfrm>
          <a:prstGeom prst="line">
            <a:avLst/>
          </a:prstGeom>
          <a:ln w="9525">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292895</xdr:colOff>
      <xdr:row>16</xdr:row>
      <xdr:rowOff>94593</xdr:rowOff>
    </xdr:from>
    <xdr:to>
      <xdr:col>7</xdr:col>
      <xdr:colOff>366712</xdr:colOff>
      <xdr:row>17</xdr:row>
      <xdr:rowOff>83362</xdr:rowOff>
    </xdr:to>
    <xdr:sp macro="" textlink="">
      <xdr:nvSpPr>
        <xdr:cNvPr id="155" name="Pentagon 154"/>
        <xdr:cNvSpPr/>
      </xdr:nvSpPr>
      <xdr:spPr>
        <a:xfrm rot="5400000">
          <a:off x="5116969" y="3195319"/>
          <a:ext cx="179269" cy="73817"/>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126552</xdr:colOff>
      <xdr:row>17</xdr:row>
      <xdr:rowOff>133350</xdr:rowOff>
    </xdr:from>
    <xdr:to>
      <xdr:col>7</xdr:col>
      <xdr:colOff>263712</xdr:colOff>
      <xdr:row>18</xdr:row>
      <xdr:rowOff>69851</xdr:rowOff>
    </xdr:to>
    <xdr:grpSp>
      <xdr:nvGrpSpPr>
        <xdr:cNvPr id="156" name="Group 155"/>
        <xdr:cNvGrpSpPr/>
      </xdr:nvGrpSpPr>
      <xdr:grpSpPr>
        <a:xfrm>
          <a:off x="4822377" y="2971800"/>
          <a:ext cx="137160" cy="98426"/>
          <a:chOff x="11549063" y="1904999"/>
          <a:chExt cx="214312" cy="198439"/>
        </a:xfrm>
      </xdr:grpSpPr>
      <xdr:cxnSp macro="">
        <xdr:nvCxnSpPr>
          <xdr:cNvPr id="157" name="Straight Connector 156"/>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485264</xdr:colOff>
      <xdr:row>17</xdr:row>
      <xdr:rowOff>125694</xdr:rowOff>
    </xdr:from>
    <xdr:to>
      <xdr:col>7</xdr:col>
      <xdr:colOff>0</xdr:colOff>
      <xdr:row>18</xdr:row>
      <xdr:rowOff>85725</xdr:rowOff>
    </xdr:to>
    <xdr:grpSp>
      <xdr:nvGrpSpPr>
        <xdr:cNvPr id="160" name="Group 159"/>
        <xdr:cNvGrpSpPr/>
      </xdr:nvGrpSpPr>
      <xdr:grpSpPr>
        <a:xfrm>
          <a:off x="4428614" y="2964144"/>
          <a:ext cx="267211" cy="121956"/>
          <a:chOff x="5703094" y="3033714"/>
          <a:chExt cx="226219" cy="157167"/>
        </a:xfrm>
      </xdr:grpSpPr>
      <xdr:sp macro="" textlink="">
        <xdr:nvSpPr>
          <xdr:cNvPr id="161" name="Rectangle 160"/>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62" name="Straight Connector 161"/>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3" name="Straight Connector 162"/>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337606</xdr:colOff>
      <xdr:row>18</xdr:row>
      <xdr:rowOff>2917</xdr:rowOff>
    </xdr:from>
    <xdr:to>
      <xdr:col>6</xdr:col>
      <xdr:colOff>448034</xdr:colOff>
      <xdr:row>18</xdr:row>
      <xdr:rowOff>44368</xdr:rowOff>
    </xdr:to>
    <xdr:sp macro="" textlink="">
      <xdr:nvSpPr>
        <xdr:cNvPr id="164" name="Pentagon 163"/>
        <xdr:cNvSpPr/>
      </xdr:nvSpPr>
      <xdr:spPr>
        <a:xfrm>
          <a:off x="4286818" y="2992302"/>
          <a:ext cx="110428" cy="41451"/>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380999</xdr:colOff>
      <xdr:row>17</xdr:row>
      <xdr:rowOff>123825</xdr:rowOff>
    </xdr:from>
    <xdr:to>
      <xdr:col>18</xdr:col>
      <xdr:colOff>495300</xdr:colOff>
      <xdr:row>19</xdr:row>
      <xdr:rowOff>28574</xdr:rowOff>
    </xdr:to>
    <xdr:sp macro="" textlink="">
      <xdr:nvSpPr>
        <xdr:cNvPr id="166" name="TextBox 165"/>
        <xdr:cNvSpPr txBox="1"/>
      </xdr:nvSpPr>
      <xdr:spPr>
        <a:xfrm>
          <a:off x="10725149" y="3362325"/>
          <a:ext cx="3162301" cy="28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1/8" Tube OD x 1/8" NPT F pipe. 5272K283. 2900 psi</a:t>
          </a:r>
        </a:p>
      </xdr:txBody>
    </xdr:sp>
    <xdr:clientData/>
  </xdr:twoCellAnchor>
  <xdr:twoCellAnchor>
    <xdr:from>
      <xdr:col>13</xdr:col>
      <xdr:colOff>380999</xdr:colOff>
      <xdr:row>15</xdr:row>
      <xdr:rowOff>114300</xdr:rowOff>
    </xdr:from>
    <xdr:to>
      <xdr:col>18</xdr:col>
      <xdr:colOff>495300</xdr:colOff>
      <xdr:row>17</xdr:row>
      <xdr:rowOff>19049</xdr:rowOff>
    </xdr:to>
    <xdr:sp macro="" textlink="">
      <xdr:nvSpPr>
        <xdr:cNvPr id="167" name="TextBox 166"/>
        <xdr:cNvSpPr txBox="1"/>
      </xdr:nvSpPr>
      <xdr:spPr>
        <a:xfrm>
          <a:off x="10286999" y="2620108"/>
          <a:ext cx="3154974" cy="227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1/8" Tube OD x 1/4" NPT F pipe. 5272K282. 2900 psi</a:t>
          </a:r>
        </a:p>
      </xdr:txBody>
    </xdr:sp>
    <xdr:clientData/>
  </xdr:twoCellAnchor>
  <xdr:twoCellAnchor>
    <xdr:from>
      <xdr:col>7</xdr:col>
      <xdr:colOff>272267</xdr:colOff>
      <xdr:row>16</xdr:row>
      <xdr:rowOff>1363</xdr:rowOff>
    </xdr:from>
    <xdr:to>
      <xdr:col>7</xdr:col>
      <xdr:colOff>383573</xdr:colOff>
      <xdr:row>16</xdr:row>
      <xdr:rowOff>158526</xdr:rowOff>
    </xdr:to>
    <xdr:grpSp>
      <xdr:nvGrpSpPr>
        <xdr:cNvPr id="168" name="Group 167"/>
        <xdr:cNvGrpSpPr/>
      </xdr:nvGrpSpPr>
      <xdr:grpSpPr>
        <a:xfrm>
          <a:off x="4968092" y="2677888"/>
          <a:ext cx="111306" cy="157163"/>
          <a:chOff x="6415980" y="2404798"/>
          <a:chExt cx="111306" cy="185738"/>
        </a:xfrm>
      </xdr:grpSpPr>
      <xdr:cxnSp macro="">
        <xdr:nvCxnSpPr>
          <xdr:cNvPr id="169" name="Straight Connector 168"/>
          <xdr:cNvCxnSpPr/>
        </xdr:nvCxnSpPr>
        <xdr:spPr>
          <a:xfrm rot="5400000">
            <a:off x="6422340" y="2499096"/>
            <a:ext cx="182880"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70" name="Straight Connector 169"/>
          <xdr:cNvCxnSpPr/>
        </xdr:nvCxnSpPr>
        <xdr:spPr>
          <a:xfrm rot="5400000">
            <a:off x="6328805" y="2495729"/>
            <a:ext cx="182880" cy="1017"/>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71" name="Straight Connector 170"/>
          <xdr:cNvCxnSpPr/>
        </xdr:nvCxnSpPr>
        <xdr:spPr>
          <a:xfrm>
            <a:off x="6415980" y="2413356"/>
            <a:ext cx="109728"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72" name="Straight Connector 171"/>
          <xdr:cNvCxnSpPr/>
        </xdr:nvCxnSpPr>
        <xdr:spPr>
          <a:xfrm>
            <a:off x="6417558" y="2581632"/>
            <a:ext cx="109728" cy="0"/>
          </a:xfrm>
          <a:prstGeom prst="line">
            <a:avLst/>
          </a:prstGeom>
          <a:ln w="25400">
            <a:solidFill>
              <a:srgbClr val="00B0F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647700</xdr:colOff>
      <xdr:row>3</xdr:row>
      <xdr:rowOff>104774</xdr:rowOff>
    </xdr:from>
    <xdr:to>
      <xdr:col>16</xdr:col>
      <xdr:colOff>514350</xdr:colOff>
      <xdr:row>6</xdr:row>
      <xdr:rowOff>200025</xdr:rowOff>
    </xdr:to>
    <xdr:sp macro="" textlink="">
      <xdr:nvSpPr>
        <xdr:cNvPr id="173" name="TextBox 172"/>
        <xdr:cNvSpPr txBox="1"/>
      </xdr:nvSpPr>
      <xdr:spPr>
        <a:xfrm>
          <a:off x="9896475" y="676274"/>
          <a:ext cx="2790825"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2 Parts: 5/18"-18 O-Ring Male to -6 AN Male. (RUS-648040) and  AN -6 Female to 1/4NPT Male Swivel (EAR-916106ERL). </a:t>
          </a:r>
          <a:endParaRPr lang="en-US" sz="1100" baseline="0">
            <a:solidFill>
              <a:schemeClr val="dk1"/>
            </a:solidFill>
            <a:latin typeface="+mn-lt"/>
            <a:ea typeface="+mn-ea"/>
            <a:cs typeface="+mn-cs"/>
          </a:endParaRPr>
        </a:p>
      </xdr:txBody>
    </xdr:sp>
    <xdr:clientData/>
  </xdr:twoCellAnchor>
  <xdr:twoCellAnchor>
    <xdr:from>
      <xdr:col>7</xdr:col>
      <xdr:colOff>65055</xdr:colOff>
      <xdr:row>17</xdr:row>
      <xdr:rowOff>170088</xdr:rowOff>
    </xdr:from>
    <xdr:to>
      <xdr:col>7</xdr:col>
      <xdr:colOff>203002</xdr:colOff>
      <xdr:row>18</xdr:row>
      <xdr:rowOff>36390</xdr:rowOff>
    </xdr:to>
    <xdr:sp macro="" textlink="">
      <xdr:nvSpPr>
        <xdr:cNvPr id="174" name="Pentagon 173"/>
        <xdr:cNvSpPr/>
      </xdr:nvSpPr>
      <xdr:spPr>
        <a:xfrm>
          <a:off x="4941855" y="3408588"/>
          <a:ext cx="137947" cy="5680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0</xdr:colOff>
      <xdr:row>17</xdr:row>
      <xdr:rowOff>147668</xdr:rowOff>
    </xdr:from>
    <xdr:to>
      <xdr:col>7</xdr:col>
      <xdr:colOff>69107</xdr:colOff>
      <xdr:row>18</xdr:row>
      <xdr:rowOff>58955</xdr:rowOff>
    </xdr:to>
    <xdr:grpSp>
      <xdr:nvGrpSpPr>
        <xdr:cNvPr id="175" name="Group 174"/>
        <xdr:cNvGrpSpPr/>
      </xdr:nvGrpSpPr>
      <xdr:grpSpPr>
        <a:xfrm>
          <a:off x="4695825" y="2986118"/>
          <a:ext cx="69107" cy="73212"/>
          <a:chOff x="11549063" y="1904999"/>
          <a:chExt cx="214312" cy="198439"/>
        </a:xfrm>
      </xdr:grpSpPr>
      <xdr:cxnSp macro="">
        <xdr:nvCxnSpPr>
          <xdr:cNvPr id="176" name="Straight Connector 175"/>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77" name="Straight Connector 176"/>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78" name="Straight Connector 177"/>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260350</xdr:colOff>
      <xdr:row>16</xdr:row>
      <xdr:rowOff>139700</xdr:rowOff>
    </xdr:from>
    <xdr:to>
      <xdr:col>7</xdr:col>
      <xdr:colOff>387351</xdr:colOff>
      <xdr:row>17</xdr:row>
      <xdr:rowOff>86360</xdr:rowOff>
    </xdr:to>
    <xdr:grpSp>
      <xdr:nvGrpSpPr>
        <xdr:cNvPr id="179" name="Group 178"/>
        <xdr:cNvGrpSpPr/>
      </xdr:nvGrpSpPr>
      <xdr:grpSpPr>
        <a:xfrm rot="5400000">
          <a:off x="4965383" y="2807017"/>
          <a:ext cx="108585" cy="127001"/>
          <a:chOff x="11549063" y="1904999"/>
          <a:chExt cx="214312" cy="198439"/>
        </a:xfrm>
      </xdr:grpSpPr>
      <xdr:cxnSp macro="">
        <xdr:nvCxnSpPr>
          <xdr:cNvPr id="180" name="Straight Connector 179"/>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81" name="Straight Connector 180"/>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82" name="Straight Connector 181"/>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87312</xdr:colOff>
      <xdr:row>7</xdr:row>
      <xdr:rowOff>119063</xdr:rowOff>
    </xdr:from>
    <xdr:to>
      <xdr:col>18</xdr:col>
      <xdr:colOff>254000</xdr:colOff>
      <xdr:row>9</xdr:row>
      <xdr:rowOff>174625</xdr:rowOff>
    </xdr:to>
    <xdr:sp macro="" textlink="">
      <xdr:nvSpPr>
        <xdr:cNvPr id="183" name="TextBox 182"/>
        <xdr:cNvSpPr txBox="1"/>
      </xdr:nvSpPr>
      <xdr:spPr>
        <a:xfrm>
          <a:off x="11041062" y="1452563"/>
          <a:ext cx="2605088" cy="436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Brass 1/4" NPT Male x Female x Female. Max PSI = 3000 psi. 9171K32.</a:t>
          </a:r>
        </a:p>
      </xdr:txBody>
    </xdr:sp>
    <xdr:clientData/>
  </xdr:twoCellAnchor>
  <xdr:twoCellAnchor>
    <xdr:from>
      <xdr:col>12</xdr:col>
      <xdr:colOff>483052</xdr:colOff>
      <xdr:row>22</xdr:row>
      <xdr:rowOff>4</xdr:rowOff>
    </xdr:from>
    <xdr:to>
      <xdr:col>12</xdr:col>
      <xdr:colOff>598713</xdr:colOff>
      <xdr:row>24</xdr:row>
      <xdr:rowOff>61232</xdr:rowOff>
    </xdr:to>
    <xdr:grpSp>
      <xdr:nvGrpSpPr>
        <xdr:cNvPr id="184" name="Group 183"/>
        <xdr:cNvGrpSpPr/>
      </xdr:nvGrpSpPr>
      <xdr:grpSpPr>
        <a:xfrm>
          <a:off x="9550852" y="3648079"/>
          <a:ext cx="115661" cy="385078"/>
          <a:chOff x="12368892" y="4279450"/>
          <a:chExt cx="115661" cy="442228"/>
        </a:xfrm>
      </xdr:grpSpPr>
      <xdr:sp macro="" textlink="">
        <xdr:nvSpPr>
          <xdr:cNvPr id="185" name="Up Arrow 184"/>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6" name="Down Arrow 185"/>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87" name="Group 186"/>
          <xdr:cNvGrpSpPr/>
        </xdr:nvGrpSpPr>
        <xdr:grpSpPr>
          <a:xfrm rot="16200000">
            <a:off x="12341678" y="4578803"/>
            <a:ext cx="170089" cy="115661"/>
            <a:chOff x="11549063" y="1904999"/>
            <a:chExt cx="214312" cy="198439"/>
          </a:xfrm>
        </xdr:grpSpPr>
        <xdr:cxnSp macro="">
          <xdr:nvCxnSpPr>
            <xdr:cNvPr id="188" name="Straight Connector 187"/>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89" name="Straight Connector 188"/>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90" name="Straight Connector 189"/>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12</xdr:col>
      <xdr:colOff>532804</xdr:colOff>
      <xdr:row>24</xdr:row>
      <xdr:rowOff>13607</xdr:rowOff>
    </xdr:from>
    <xdr:to>
      <xdr:col>12</xdr:col>
      <xdr:colOff>537483</xdr:colOff>
      <xdr:row>27</xdr:row>
      <xdr:rowOff>154136</xdr:rowOff>
    </xdr:to>
    <xdr:cxnSp macro="">
      <xdr:nvCxnSpPr>
        <xdr:cNvPr id="191" name="Straight Connector 190"/>
        <xdr:cNvCxnSpPr/>
      </xdr:nvCxnSpPr>
      <xdr:spPr>
        <a:xfrm flipV="1">
          <a:off x="9611633" y="3953949"/>
          <a:ext cx="4679" cy="621792"/>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517072</xdr:colOff>
      <xdr:row>23</xdr:row>
      <xdr:rowOff>136072</xdr:rowOff>
    </xdr:from>
    <xdr:to>
      <xdr:col>12</xdr:col>
      <xdr:colOff>567872</xdr:colOff>
      <xdr:row>24</xdr:row>
      <xdr:rowOff>97972</xdr:rowOff>
    </xdr:to>
    <xdr:sp macro="" textlink="">
      <xdr:nvSpPr>
        <xdr:cNvPr id="192" name="Pentagon 191"/>
        <xdr:cNvSpPr/>
      </xdr:nvSpPr>
      <xdr:spPr>
        <a:xfrm rot="16200000">
          <a:off x="9715047" y="4568372"/>
          <a:ext cx="15240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272143</xdr:colOff>
      <xdr:row>42</xdr:row>
      <xdr:rowOff>88448</xdr:rowOff>
    </xdr:from>
    <xdr:to>
      <xdr:col>35</xdr:col>
      <xdr:colOff>387804</xdr:colOff>
      <xdr:row>44</xdr:row>
      <xdr:rowOff>149676</xdr:rowOff>
    </xdr:to>
    <xdr:grpSp>
      <xdr:nvGrpSpPr>
        <xdr:cNvPr id="193" name="Group 192"/>
        <xdr:cNvGrpSpPr/>
      </xdr:nvGrpSpPr>
      <xdr:grpSpPr>
        <a:xfrm>
          <a:off x="23589343" y="6975023"/>
          <a:ext cx="115661" cy="385078"/>
          <a:chOff x="12368892" y="4279450"/>
          <a:chExt cx="115661" cy="442228"/>
        </a:xfrm>
      </xdr:grpSpPr>
      <xdr:sp macro="" textlink="">
        <xdr:nvSpPr>
          <xdr:cNvPr id="194" name="Up Arrow 193"/>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5" name="Down Arrow 194"/>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96" name="Group 195"/>
          <xdr:cNvGrpSpPr/>
        </xdr:nvGrpSpPr>
        <xdr:grpSpPr>
          <a:xfrm rot="16200000">
            <a:off x="12341678" y="4578803"/>
            <a:ext cx="170089" cy="115661"/>
            <a:chOff x="11549063" y="1904999"/>
            <a:chExt cx="214312" cy="198439"/>
          </a:xfrm>
        </xdr:grpSpPr>
        <xdr:cxnSp macro="">
          <xdr:nvCxnSpPr>
            <xdr:cNvPr id="197" name="Straight Connector 196"/>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98" name="Straight Connector 197"/>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99" name="Straight Connector 198"/>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35</xdr:col>
      <xdr:colOff>215134</xdr:colOff>
      <xdr:row>13</xdr:row>
      <xdr:rowOff>95394</xdr:rowOff>
    </xdr:from>
    <xdr:to>
      <xdr:col>35</xdr:col>
      <xdr:colOff>387570</xdr:colOff>
      <xdr:row>15</xdr:row>
      <xdr:rowOff>59121</xdr:rowOff>
    </xdr:to>
    <xdr:grpSp>
      <xdr:nvGrpSpPr>
        <xdr:cNvPr id="201" name="Group 200"/>
        <xdr:cNvGrpSpPr/>
      </xdr:nvGrpSpPr>
      <xdr:grpSpPr>
        <a:xfrm>
          <a:off x="23532334" y="2286144"/>
          <a:ext cx="172436" cy="287577"/>
          <a:chOff x="23880537" y="2955474"/>
          <a:chExt cx="183696" cy="425675"/>
        </a:xfrm>
      </xdr:grpSpPr>
      <xdr:grpSp>
        <xdr:nvGrpSpPr>
          <xdr:cNvPr id="202" name="Group 201"/>
          <xdr:cNvGrpSpPr/>
        </xdr:nvGrpSpPr>
        <xdr:grpSpPr>
          <a:xfrm>
            <a:off x="23880537" y="3024908"/>
            <a:ext cx="183696" cy="282315"/>
            <a:chOff x="5703094" y="3033714"/>
            <a:chExt cx="226219" cy="157167"/>
          </a:xfrm>
          <a:solidFill>
            <a:srgbClr val="FFFF00"/>
          </a:solidFill>
        </xdr:grpSpPr>
        <xdr:sp macro="" textlink="">
          <xdr:nvSpPr>
            <xdr:cNvPr id="211" name="Rectangle 210"/>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12" name="Straight Connector 211"/>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13" name="Straight Connector 212"/>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03" name="Group 202"/>
          <xdr:cNvGrpSpPr/>
        </xdr:nvGrpSpPr>
        <xdr:grpSpPr>
          <a:xfrm rot="16200000">
            <a:off x="23923305" y="3277373"/>
            <a:ext cx="108631" cy="98921"/>
            <a:chOff x="11549063" y="1904999"/>
            <a:chExt cx="214312" cy="198439"/>
          </a:xfrm>
        </xdr:grpSpPr>
        <xdr:cxnSp macro="">
          <xdr:nvCxnSpPr>
            <xdr:cNvPr id="208" name="Straight Connector 207"/>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09" name="Straight Connector 208"/>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10" name="Straight Connector 209"/>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204" name="Group 203"/>
          <xdr:cNvGrpSpPr/>
        </xdr:nvGrpSpPr>
        <xdr:grpSpPr>
          <a:xfrm rot="5400000">
            <a:off x="23919223" y="2960329"/>
            <a:ext cx="108631" cy="98921"/>
            <a:chOff x="11549063" y="1904999"/>
            <a:chExt cx="214312" cy="198439"/>
          </a:xfrm>
        </xdr:grpSpPr>
        <xdr:cxnSp macro="">
          <xdr:nvCxnSpPr>
            <xdr:cNvPr id="205" name="Straight Connector 20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06" name="Straight Connector 20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07" name="Straight Connector 20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415018</xdr:colOff>
      <xdr:row>18</xdr:row>
      <xdr:rowOff>1362</xdr:rowOff>
    </xdr:from>
    <xdr:to>
      <xdr:col>6</xdr:col>
      <xdr:colOff>496661</xdr:colOff>
      <xdr:row>18</xdr:row>
      <xdr:rowOff>61233</xdr:rowOff>
    </xdr:to>
    <xdr:grpSp>
      <xdr:nvGrpSpPr>
        <xdr:cNvPr id="214" name="Group 213"/>
        <xdr:cNvGrpSpPr/>
      </xdr:nvGrpSpPr>
      <xdr:grpSpPr>
        <a:xfrm>
          <a:off x="4358368" y="3001737"/>
          <a:ext cx="81643" cy="59871"/>
          <a:chOff x="11549063" y="1904999"/>
          <a:chExt cx="214312" cy="198439"/>
        </a:xfrm>
      </xdr:grpSpPr>
      <xdr:cxnSp macro="">
        <xdr:nvCxnSpPr>
          <xdr:cNvPr id="215" name="Straight Connector 21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16" name="Straight Connector 21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17" name="Straight Connector 21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469447</xdr:colOff>
      <xdr:row>17</xdr:row>
      <xdr:rowOff>59663</xdr:rowOff>
    </xdr:from>
    <xdr:to>
      <xdr:col>5</xdr:col>
      <xdr:colOff>555801</xdr:colOff>
      <xdr:row>20</xdr:row>
      <xdr:rowOff>18314</xdr:rowOff>
    </xdr:to>
    <xdr:grpSp>
      <xdr:nvGrpSpPr>
        <xdr:cNvPr id="218" name="Group 217"/>
        <xdr:cNvGrpSpPr/>
      </xdr:nvGrpSpPr>
      <xdr:grpSpPr>
        <a:xfrm rot="10800000">
          <a:off x="3822247" y="2898113"/>
          <a:ext cx="86354" cy="444426"/>
          <a:chOff x="12368892" y="4279450"/>
          <a:chExt cx="115661" cy="442228"/>
        </a:xfrm>
      </xdr:grpSpPr>
      <xdr:sp macro="" textlink="">
        <xdr:nvSpPr>
          <xdr:cNvPr id="219" name="Up Arrow 218"/>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0" name="Down Arrow 219"/>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21" name="Group 220"/>
          <xdr:cNvGrpSpPr/>
        </xdr:nvGrpSpPr>
        <xdr:grpSpPr>
          <a:xfrm rot="16200000">
            <a:off x="12341678" y="4578803"/>
            <a:ext cx="170089" cy="115661"/>
            <a:chOff x="11549063" y="1904999"/>
            <a:chExt cx="214312" cy="198439"/>
          </a:xfrm>
        </xdr:grpSpPr>
        <xdr:cxnSp macro="">
          <xdr:nvCxnSpPr>
            <xdr:cNvPr id="222" name="Straight Connector 221"/>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23" name="Straight Connector 222"/>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24" name="Straight Connector 223"/>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256267</xdr:colOff>
      <xdr:row>21</xdr:row>
      <xdr:rowOff>81643</xdr:rowOff>
    </xdr:from>
    <xdr:to>
      <xdr:col>7</xdr:col>
      <xdr:colOff>371928</xdr:colOff>
      <xdr:row>23</xdr:row>
      <xdr:rowOff>142871</xdr:rowOff>
    </xdr:to>
    <xdr:grpSp>
      <xdr:nvGrpSpPr>
        <xdr:cNvPr id="225" name="Group 224"/>
        <xdr:cNvGrpSpPr/>
      </xdr:nvGrpSpPr>
      <xdr:grpSpPr>
        <a:xfrm>
          <a:off x="4952092" y="3567793"/>
          <a:ext cx="115661" cy="385078"/>
          <a:chOff x="12368892" y="4279450"/>
          <a:chExt cx="115661" cy="442228"/>
        </a:xfrm>
      </xdr:grpSpPr>
      <xdr:sp macro="" textlink="">
        <xdr:nvSpPr>
          <xdr:cNvPr id="226" name="Up Arrow 225"/>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7" name="Down Arrow 226"/>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28" name="Group 227"/>
          <xdr:cNvGrpSpPr/>
        </xdr:nvGrpSpPr>
        <xdr:grpSpPr>
          <a:xfrm rot="16200000">
            <a:off x="12341678" y="4578803"/>
            <a:ext cx="170089" cy="115661"/>
            <a:chOff x="11549063" y="1904999"/>
            <a:chExt cx="214312" cy="198439"/>
          </a:xfrm>
        </xdr:grpSpPr>
        <xdr:cxnSp macro="">
          <xdr:nvCxnSpPr>
            <xdr:cNvPr id="229" name="Straight Connector 228"/>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30" name="Straight Connector 229"/>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5</xdr:col>
      <xdr:colOff>510267</xdr:colOff>
      <xdr:row>16</xdr:row>
      <xdr:rowOff>160144</xdr:rowOff>
    </xdr:from>
    <xdr:to>
      <xdr:col>6</xdr:col>
      <xdr:colOff>328266</xdr:colOff>
      <xdr:row>16</xdr:row>
      <xdr:rowOff>160144</xdr:rowOff>
    </xdr:to>
    <xdr:cxnSp macro="">
      <xdr:nvCxnSpPr>
        <xdr:cNvPr id="232" name="Straight Connector 231"/>
        <xdr:cNvCxnSpPr/>
      </xdr:nvCxnSpPr>
      <xdr:spPr>
        <a:xfrm flipH="1">
          <a:off x="3865998" y="2827144"/>
          <a:ext cx="41148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600228</xdr:colOff>
      <xdr:row>30</xdr:row>
      <xdr:rowOff>130597</xdr:rowOff>
    </xdr:from>
    <xdr:to>
      <xdr:col>6</xdr:col>
      <xdr:colOff>736299</xdr:colOff>
      <xdr:row>33</xdr:row>
      <xdr:rowOff>14079</xdr:rowOff>
    </xdr:to>
    <xdr:grpSp>
      <xdr:nvGrpSpPr>
        <xdr:cNvPr id="233" name="Group 232"/>
        <xdr:cNvGrpSpPr/>
      </xdr:nvGrpSpPr>
      <xdr:grpSpPr>
        <a:xfrm>
          <a:off x="4543578" y="5074072"/>
          <a:ext cx="136071" cy="369257"/>
          <a:chOff x="23880537" y="2955474"/>
          <a:chExt cx="183696" cy="425675"/>
        </a:xfrm>
      </xdr:grpSpPr>
      <xdr:grpSp>
        <xdr:nvGrpSpPr>
          <xdr:cNvPr id="234" name="Group 233"/>
          <xdr:cNvGrpSpPr/>
        </xdr:nvGrpSpPr>
        <xdr:grpSpPr>
          <a:xfrm>
            <a:off x="23880537" y="3024908"/>
            <a:ext cx="183696" cy="282315"/>
            <a:chOff x="5703094" y="3033714"/>
            <a:chExt cx="226219" cy="157167"/>
          </a:xfrm>
          <a:solidFill>
            <a:srgbClr val="FFFF00"/>
          </a:solidFill>
        </xdr:grpSpPr>
        <xdr:sp macro="" textlink="">
          <xdr:nvSpPr>
            <xdr:cNvPr id="243" name="Rectangle 242"/>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44" name="Straight Connector 243"/>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45" name="Straight Connector 244"/>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35" name="Group 234"/>
          <xdr:cNvGrpSpPr/>
        </xdr:nvGrpSpPr>
        <xdr:grpSpPr>
          <a:xfrm rot="16200000">
            <a:off x="23923305" y="3277373"/>
            <a:ext cx="108631" cy="98921"/>
            <a:chOff x="11549063" y="1904999"/>
            <a:chExt cx="214312" cy="198439"/>
          </a:xfrm>
        </xdr:grpSpPr>
        <xdr:cxnSp macro="">
          <xdr:nvCxnSpPr>
            <xdr:cNvPr id="240" name="Straight Connector 239"/>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236" name="Group 235"/>
          <xdr:cNvGrpSpPr/>
        </xdr:nvGrpSpPr>
        <xdr:grpSpPr>
          <a:xfrm rot="5400000">
            <a:off x="23919223" y="2960329"/>
            <a:ext cx="108631" cy="98921"/>
            <a:chOff x="11549063" y="1904999"/>
            <a:chExt cx="214312" cy="198439"/>
          </a:xfrm>
        </xdr:grpSpPr>
        <xdr:cxnSp macro="">
          <xdr:nvCxnSpPr>
            <xdr:cNvPr id="237" name="Straight Connector 236"/>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38" name="Straight Connector 237"/>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39" name="Straight Connector 238"/>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5</xdr:col>
      <xdr:colOff>472574</xdr:colOff>
      <xdr:row>16</xdr:row>
      <xdr:rowOff>142762</xdr:rowOff>
    </xdr:from>
    <xdr:to>
      <xdr:col>5</xdr:col>
      <xdr:colOff>546391</xdr:colOff>
      <xdr:row>17</xdr:row>
      <xdr:rowOff>141057</xdr:rowOff>
    </xdr:to>
    <xdr:sp macro="" textlink="">
      <xdr:nvSpPr>
        <xdr:cNvPr id="246" name="Pentagon 245"/>
        <xdr:cNvSpPr/>
      </xdr:nvSpPr>
      <xdr:spPr>
        <a:xfrm rot="5400000">
          <a:off x="3785470" y="2852597"/>
          <a:ext cx="159487" cy="73817"/>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102059</xdr:colOff>
      <xdr:row>45</xdr:row>
      <xdr:rowOff>108856</xdr:rowOff>
    </xdr:from>
    <xdr:to>
      <xdr:col>35</xdr:col>
      <xdr:colOff>559259</xdr:colOff>
      <xdr:row>45</xdr:row>
      <xdr:rowOff>108856</xdr:rowOff>
    </xdr:to>
    <xdr:cxnSp macro="">
      <xdr:nvCxnSpPr>
        <xdr:cNvPr id="268" name="Straight Connector 267"/>
        <xdr:cNvCxnSpPr/>
      </xdr:nvCxnSpPr>
      <xdr:spPr>
        <a:xfrm>
          <a:off x="23857409" y="7728856"/>
          <a:ext cx="457200" cy="0"/>
        </a:xfrm>
        <a:prstGeom prst="line">
          <a:avLst/>
        </a:prstGeom>
        <a:ln w="25400">
          <a:solidFill>
            <a:srgbClr val="98413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351405</xdr:colOff>
      <xdr:row>15</xdr:row>
      <xdr:rowOff>68036</xdr:rowOff>
    </xdr:from>
    <xdr:to>
      <xdr:col>20</xdr:col>
      <xdr:colOff>351405</xdr:colOff>
      <xdr:row>15</xdr:row>
      <xdr:rowOff>151395</xdr:rowOff>
    </xdr:to>
    <xdr:cxnSp macro="">
      <xdr:nvCxnSpPr>
        <xdr:cNvPr id="285" name="Straight Connector 284"/>
        <xdr:cNvCxnSpPr/>
      </xdr:nvCxnSpPr>
      <xdr:spPr>
        <a:xfrm rot="5400000">
          <a:off x="14921075" y="2967216"/>
          <a:ext cx="83359" cy="0"/>
        </a:xfrm>
        <a:prstGeom prst="line">
          <a:avLst/>
        </a:prstGeom>
        <a:ln w="635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570743</xdr:colOff>
      <xdr:row>27</xdr:row>
      <xdr:rowOff>157047</xdr:rowOff>
    </xdr:from>
    <xdr:to>
      <xdr:col>20</xdr:col>
      <xdr:colOff>146305</xdr:colOff>
      <xdr:row>30</xdr:row>
      <xdr:rowOff>40530</xdr:rowOff>
    </xdr:to>
    <xdr:grpSp>
      <xdr:nvGrpSpPr>
        <xdr:cNvPr id="286" name="Group 285"/>
        <xdr:cNvGrpSpPr/>
      </xdr:nvGrpSpPr>
      <xdr:grpSpPr>
        <a:xfrm rot="10800000">
          <a:off x="14134343" y="4614747"/>
          <a:ext cx="185162" cy="369258"/>
          <a:chOff x="23880537" y="2955474"/>
          <a:chExt cx="183696" cy="425675"/>
        </a:xfrm>
      </xdr:grpSpPr>
      <xdr:grpSp>
        <xdr:nvGrpSpPr>
          <xdr:cNvPr id="287" name="Group 286"/>
          <xdr:cNvGrpSpPr/>
        </xdr:nvGrpSpPr>
        <xdr:grpSpPr>
          <a:xfrm>
            <a:off x="23880537" y="3024908"/>
            <a:ext cx="183696" cy="282315"/>
            <a:chOff x="5703094" y="3033714"/>
            <a:chExt cx="226219" cy="157167"/>
          </a:xfrm>
          <a:solidFill>
            <a:srgbClr val="FFFF00"/>
          </a:solidFill>
        </xdr:grpSpPr>
        <xdr:sp macro="" textlink="">
          <xdr:nvSpPr>
            <xdr:cNvPr id="296" name="Rectangle 295"/>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97" name="Straight Connector 296"/>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98" name="Straight Connector 297"/>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88" name="Group 287"/>
          <xdr:cNvGrpSpPr/>
        </xdr:nvGrpSpPr>
        <xdr:grpSpPr>
          <a:xfrm rot="16200000">
            <a:off x="23923305" y="3277373"/>
            <a:ext cx="108631" cy="98921"/>
            <a:chOff x="11549063" y="1904999"/>
            <a:chExt cx="214312" cy="198439"/>
          </a:xfrm>
        </xdr:grpSpPr>
        <xdr:cxnSp macro="">
          <xdr:nvCxnSpPr>
            <xdr:cNvPr id="293" name="Straight Connector 292"/>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94" name="Straight Connector 293"/>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95" name="Straight Connector 294"/>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289" name="Group 288"/>
          <xdr:cNvGrpSpPr/>
        </xdr:nvGrpSpPr>
        <xdr:grpSpPr>
          <a:xfrm rot="5400000">
            <a:off x="23919223" y="2960329"/>
            <a:ext cx="108631" cy="98921"/>
            <a:chOff x="11549063" y="1904999"/>
            <a:chExt cx="214312" cy="198439"/>
          </a:xfrm>
        </xdr:grpSpPr>
        <xdr:cxnSp macro="">
          <xdr:nvCxnSpPr>
            <xdr:cNvPr id="290" name="Straight Connector 289"/>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91" name="Straight Connector 290"/>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92" name="Straight Connector 291"/>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332004</xdr:colOff>
      <xdr:row>20</xdr:row>
      <xdr:rowOff>121560</xdr:rowOff>
    </xdr:from>
    <xdr:to>
      <xdr:col>20</xdr:col>
      <xdr:colOff>393237</xdr:colOff>
      <xdr:row>21</xdr:row>
      <xdr:rowOff>121559</xdr:rowOff>
    </xdr:to>
    <xdr:sp macro="" textlink="">
      <xdr:nvSpPr>
        <xdr:cNvPr id="299" name="Pentagon 298"/>
        <xdr:cNvSpPr/>
      </xdr:nvSpPr>
      <xdr:spPr>
        <a:xfrm rot="5400000">
          <a:off x="14444967" y="3483308"/>
          <a:ext cx="161192"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19</xdr:col>
      <xdr:colOff>595834</xdr:colOff>
      <xdr:row>30</xdr:row>
      <xdr:rowOff>128850</xdr:rowOff>
    </xdr:from>
    <xdr:to>
      <xdr:col>20</xdr:col>
      <xdr:colOff>143029</xdr:colOff>
      <xdr:row>33</xdr:row>
      <xdr:rowOff>86412</xdr:rowOff>
    </xdr:to>
    <xdr:grpSp>
      <xdr:nvGrpSpPr>
        <xdr:cNvPr id="300" name="Group 299"/>
        <xdr:cNvGrpSpPr/>
      </xdr:nvGrpSpPr>
      <xdr:grpSpPr>
        <a:xfrm>
          <a:off x="14159434" y="5072325"/>
          <a:ext cx="156795" cy="443337"/>
          <a:chOff x="10384971" y="9386673"/>
          <a:chExt cx="155329" cy="529061"/>
        </a:xfrm>
      </xdr:grpSpPr>
      <xdr:grpSp>
        <xdr:nvGrpSpPr>
          <xdr:cNvPr id="301" name="Group 300"/>
          <xdr:cNvGrpSpPr/>
        </xdr:nvGrpSpPr>
        <xdr:grpSpPr>
          <a:xfrm rot="16200000">
            <a:off x="10416428" y="9811958"/>
            <a:ext cx="108631" cy="98921"/>
            <a:chOff x="11549063" y="1904999"/>
            <a:chExt cx="214312" cy="198439"/>
          </a:xfrm>
        </xdr:grpSpPr>
        <xdr:cxnSp macro="">
          <xdr:nvCxnSpPr>
            <xdr:cNvPr id="309" name="Straight Connector 308"/>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10" name="Straight Connector 309"/>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11" name="Straight Connector 310"/>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302" name="Group 301"/>
          <xdr:cNvGrpSpPr/>
        </xdr:nvGrpSpPr>
        <xdr:grpSpPr>
          <a:xfrm rot="5400000">
            <a:off x="10400099" y="9391528"/>
            <a:ext cx="108631" cy="98921"/>
            <a:chOff x="11549063" y="1904999"/>
            <a:chExt cx="214312" cy="198439"/>
          </a:xfrm>
        </xdr:grpSpPr>
        <xdr:cxnSp macro="">
          <xdr:nvCxnSpPr>
            <xdr:cNvPr id="306" name="Straight Connector 305"/>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07" name="Straight Connector 306"/>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08" name="Straight Connector 307"/>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303" name="Group 302"/>
          <xdr:cNvGrpSpPr/>
        </xdr:nvGrpSpPr>
        <xdr:grpSpPr>
          <a:xfrm rot="16200000">
            <a:off x="10320591" y="9575812"/>
            <a:ext cx="284089" cy="155329"/>
            <a:chOff x="2667000" y="1262063"/>
            <a:chExt cx="428625" cy="226218"/>
          </a:xfrm>
        </xdr:grpSpPr>
        <xdr:sp macro="" textlink="">
          <xdr:nvSpPr>
            <xdr:cNvPr id="304" name="Rectangle 303"/>
            <xdr:cNvSpPr/>
          </xdr:nvSpPr>
          <xdr:spPr>
            <a:xfrm>
              <a:off x="2678906" y="1262063"/>
              <a:ext cx="416719" cy="2262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05" name="Straight Arrow Connector 304"/>
            <xdr:cNvCxnSpPr/>
          </xdr:nvCxnSpPr>
          <xdr:spPr>
            <a:xfrm flipH="1">
              <a:off x="2667000" y="1363266"/>
              <a:ext cx="416719" cy="1588"/>
            </a:xfrm>
            <a:prstGeom prst="straightConnector1">
              <a:avLst/>
            </a:prstGeom>
            <a:ln w="2667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81631</xdr:colOff>
      <xdr:row>15</xdr:row>
      <xdr:rowOff>2661</xdr:rowOff>
    </xdr:from>
    <xdr:to>
      <xdr:col>11</xdr:col>
      <xdr:colOff>244917</xdr:colOff>
      <xdr:row>18</xdr:row>
      <xdr:rowOff>153865</xdr:rowOff>
    </xdr:to>
    <xdr:sp macro="" textlink="">
      <xdr:nvSpPr>
        <xdr:cNvPr id="329" name="TextBox 328"/>
        <xdr:cNvSpPr txBox="1"/>
      </xdr:nvSpPr>
      <xdr:spPr>
        <a:xfrm>
          <a:off x="5749006" y="2860161"/>
          <a:ext cx="3135086" cy="7227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 Parts:</a:t>
          </a:r>
          <a:br>
            <a:rPr lang="en-US" sz="1100"/>
          </a:br>
          <a:r>
            <a:rPr lang="en-US" sz="1100"/>
            <a:t>Quick Disconnect Socket 12FS</a:t>
          </a:r>
        </a:p>
        <a:p>
          <a:r>
            <a:rPr lang="en-US" sz="1100"/>
            <a:t>Quick Disconnect Plug 12MP</a:t>
          </a:r>
        </a:p>
      </xdr:txBody>
    </xdr:sp>
    <xdr:clientData/>
  </xdr:twoCellAnchor>
  <xdr:twoCellAnchor>
    <xdr:from>
      <xdr:col>12</xdr:col>
      <xdr:colOff>142049</xdr:colOff>
      <xdr:row>26</xdr:row>
      <xdr:rowOff>0</xdr:rowOff>
    </xdr:from>
    <xdr:to>
      <xdr:col>15</xdr:col>
      <xdr:colOff>536241</xdr:colOff>
      <xdr:row>27</xdr:row>
      <xdr:rowOff>70782</xdr:rowOff>
    </xdr:to>
    <xdr:cxnSp macro="">
      <xdr:nvCxnSpPr>
        <xdr:cNvPr id="330" name="Straight Arrow Connector 329"/>
        <xdr:cNvCxnSpPr>
          <a:stCxn id="48" idx="2"/>
          <a:endCxn id="386" idx="0"/>
        </xdr:cNvCxnSpPr>
      </xdr:nvCxnSpPr>
      <xdr:spPr>
        <a:xfrm flipH="1">
          <a:off x="9212780" y="4278923"/>
          <a:ext cx="2445730" cy="2319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25645</xdr:colOff>
      <xdr:row>35</xdr:row>
      <xdr:rowOff>62539</xdr:rowOff>
    </xdr:from>
    <xdr:to>
      <xdr:col>10</xdr:col>
      <xdr:colOff>374721</xdr:colOff>
      <xdr:row>37</xdr:row>
      <xdr:rowOff>113517</xdr:rowOff>
    </xdr:to>
    <xdr:sp macro="" textlink="">
      <xdr:nvSpPr>
        <xdr:cNvPr id="331" name="TextBox 330"/>
        <xdr:cNvSpPr txBox="1"/>
      </xdr:nvSpPr>
      <xdr:spPr>
        <a:xfrm>
          <a:off x="5520837" y="5792193"/>
          <a:ext cx="2481211" cy="3733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1/4" NPT Female</a:t>
          </a:r>
          <a:r>
            <a:rPr lang="en-US" sz="1100" baseline="0">
              <a:solidFill>
                <a:schemeClr val="dk1"/>
              </a:solidFill>
              <a:latin typeface="+mn-lt"/>
              <a:ea typeface="+mn-ea"/>
              <a:cs typeface="+mn-cs"/>
            </a:rPr>
            <a:t> Series D</a:t>
          </a:r>
          <a:r>
            <a:rPr lang="en-US" sz="1100">
              <a:solidFill>
                <a:schemeClr val="dk1"/>
              </a:solidFill>
              <a:latin typeface="+mn-lt"/>
              <a:ea typeface="+mn-ea"/>
              <a:cs typeface="+mn-cs"/>
            </a:rPr>
            <a:t> Gems Solenoid Valve. D2011-SB1-V-VO-C203</a:t>
          </a:r>
          <a:endParaRPr lang="en-US"/>
        </a:p>
      </xdr:txBody>
    </xdr:sp>
    <xdr:clientData/>
  </xdr:twoCellAnchor>
  <xdr:twoCellAnchor>
    <xdr:from>
      <xdr:col>0</xdr:col>
      <xdr:colOff>9525</xdr:colOff>
      <xdr:row>22</xdr:row>
      <xdr:rowOff>13007</xdr:rowOff>
    </xdr:from>
    <xdr:to>
      <xdr:col>4</xdr:col>
      <xdr:colOff>510504</xdr:colOff>
      <xdr:row>24</xdr:row>
      <xdr:rowOff>161192</xdr:rowOff>
    </xdr:to>
    <xdr:sp macro="" textlink="">
      <xdr:nvSpPr>
        <xdr:cNvPr id="333" name="TextBox 332"/>
        <xdr:cNvSpPr txBox="1"/>
      </xdr:nvSpPr>
      <xdr:spPr>
        <a:xfrm>
          <a:off x="9525" y="3661082"/>
          <a:ext cx="3120354" cy="472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Pipe Tee </a:t>
          </a:r>
          <a:r>
            <a:rPr lang="en-US" sz="1100">
              <a:solidFill>
                <a:schemeClr val="dk1"/>
              </a:solidFill>
              <a:effectLst/>
              <a:latin typeface="+mn-lt"/>
              <a:ea typeface="+mn-ea"/>
              <a:cs typeface="+mn-cs"/>
            </a:rPr>
            <a:t>50785K219</a:t>
          </a:r>
          <a:r>
            <a:rPr lang="en-US" sz="1100" b="0" baseline="0">
              <a:solidFill>
                <a:schemeClr val="dk1"/>
              </a:solidFill>
              <a:latin typeface="+mn-lt"/>
              <a:ea typeface="+mn-ea"/>
              <a:cs typeface="+mn-cs"/>
            </a:rPr>
            <a:t>  </a:t>
          </a:r>
          <a:r>
            <a:rPr lang="en-US" sz="1100">
              <a:solidFill>
                <a:schemeClr val="dk1"/>
              </a:solidFill>
              <a:latin typeface="+mn-lt"/>
              <a:ea typeface="+mn-ea"/>
              <a:cs typeface="+mn-cs"/>
            </a:rPr>
            <a:t>Max</a:t>
          </a:r>
          <a:r>
            <a:rPr lang="en-US" sz="1100" baseline="0">
              <a:solidFill>
                <a:schemeClr val="dk1"/>
              </a:solidFill>
              <a:latin typeface="+mn-lt"/>
              <a:ea typeface="+mn-ea"/>
              <a:cs typeface="+mn-cs"/>
            </a:rPr>
            <a:t> PSI = </a:t>
          </a:r>
          <a:r>
            <a:rPr lang="en-US" sz="1100">
              <a:solidFill>
                <a:schemeClr val="dk1"/>
              </a:solidFill>
              <a:latin typeface="+mn-lt"/>
              <a:ea typeface="+mn-ea"/>
              <a:cs typeface="+mn-cs"/>
            </a:rPr>
            <a:t>1000. 1/8" NPT F/F/M. Pressure Gauge  1/8"</a:t>
          </a:r>
          <a:endParaRPr lang="en-US" sz="1100"/>
        </a:p>
      </xdr:txBody>
    </xdr:sp>
    <xdr:clientData/>
  </xdr:twoCellAnchor>
  <xdr:twoCellAnchor>
    <xdr:from>
      <xdr:col>35</xdr:col>
      <xdr:colOff>259292</xdr:colOff>
      <xdr:row>46</xdr:row>
      <xdr:rowOff>68792</xdr:rowOff>
    </xdr:from>
    <xdr:to>
      <xdr:col>35</xdr:col>
      <xdr:colOff>402167</xdr:colOff>
      <xdr:row>49</xdr:row>
      <xdr:rowOff>28150</xdr:rowOff>
    </xdr:to>
    <xdr:grpSp>
      <xdr:nvGrpSpPr>
        <xdr:cNvPr id="354" name="Group 353"/>
        <xdr:cNvGrpSpPr/>
      </xdr:nvGrpSpPr>
      <xdr:grpSpPr>
        <a:xfrm>
          <a:off x="23576492" y="7603067"/>
          <a:ext cx="142875" cy="445133"/>
          <a:chOff x="5047494" y="4484160"/>
          <a:chExt cx="142875" cy="530858"/>
        </a:xfrm>
      </xdr:grpSpPr>
      <xdr:sp macro="" textlink="">
        <xdr:nvSpPr>
          <xdr:cNvPr id="355" name="Rectangle 354"/>
          <xdr:cNvSpPr/>
        </xdr:nvSpPr>
        <xdr:spPr>
          <a:xfrm>
            <a:off x="5047494" y="4585608"/>
            <a:ext cx="142875" cy="319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6" name="Oval 355"/>
          <xdr:cNvSpPr/>
        </xdr:nvSpPr>
        <xdr:spPr>
          <a:xfrm>
            <a:off x="5087559" y="4677078"/>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57" name="Oval 356"/>
          <xdr:cNvSpPr/>
        </xdr:nvSpPr>
        <xdr:spPr>
          <a:xfrm>
            <a:off x="5085291" y="4820707"/>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58" name="Oval 357"/>
          <xdr:cNvSpPr/>
        </xdr:nvSpPr>
        <xdr:spPr>
          <a:xfrm>
            <a:off x="5122333" y="4773084"/>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59" name="Oval 358"/>
          <xdr:cNvSpPr/>
        </xdr:nvSpPr>
        <xdr:spPr>
          <a:xfrm>
            <a:off x="5137150" y="4846108"/>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0" name="Oval 359"/>
          <xdr:cNvSpPr/>
        </xdr:nvSpPr>
        <xdr:spPr>
          <a:xfrm>
            <a:off x="5077883" y="4739217"/>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1" name="Oval 360"/>
          <xdr:cNvSpPr/>
        </xdr:nvSpPr>
        <xdr:spPr>
          <a:xfrm>
            <a:off x="5092699" y="4617205"/>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2" name="Oval 361"/>
          <xdr:cNvSpPr/>
        </xdr:nvSpPr>
        <xdr:spPr>
          <a:xfrm>
            <a:off x="5144558" y="4678892"/>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363" name="Group 362"/>
          <xdr:cNvGrpSpPr/>
        </xdr:nvGrpSpPr>
        <xdr:grpSpPr>
          <a:xfrm rot="5400000">
            <a:off x="5065397" y="4488181"/>
            <a:ext cx="108583" cy="100541"/>
            <a:chOff x="11549063" y="1904999"/>
            <a:chExt cx="214312" cy="198439"/>
          </a:xfrm>
        </xdr:grpSpPr>
        <xdr:cxnSp macro="">
          <xdr:nvCxnSpPr>
            <xdr:cNvPr id="368" name="Straight Connector 367"/>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69" name="Straight Connector 368"/>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70" name="Straight Connector 369"/>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364" name="Group 363"/>
          <xdr:cNvGrpSpPr/>
        </xdr:nvGrpSpPr>
        <xdr:grpSpPr>
          <a:xfrm rot="16200000">
            <a:off x="5064338" y="4910456"/>
            <a:ext cx="108583" cy="100541"/>
            <a:chOff x="11549063" y="1904999"/>
            <a:chExt cx="214312" cy="198439"/>
          </a:xfrm>
        </xdr:grpSpPr>
        <xdr:cxnSp macro="">
          <xdr:nvCxnSpPr>
            <xdr:cNvPr id="365" name="Straight Connector 36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66" name="Straight Connector 36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67" name="Straight Connector 36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565096</xdr:colOff>
      <xdr:row>19</xdr:row>
      <xdr:rowOff>144703</xdr:rowOff>
    </xdr:from>
    <xdr:to>
      <xdr:col>20</xdr:col>
      <xdr:colOff>144061</xdr:colOff>
      <xdr:row>22</xdr:row>
      <xdr:rowOff>133349</xdr:rowOff>
    </xdr:to>
    <xdr:sp macro="" textlink="">
      <xdr:nvSpPr>
        <xdr:cNvPr id="374" name="TextBox 373"/>
        <xdr:cNvSpPr txBox="1"/>
      </xdr:nvSpPr>
      <xdr:spPr>
        <a:xfrm>
          <a:off x="11690296" y="3307003"/>
          <a:ext cx="2626965" cy="4744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x1.</a:t>
          </a:r>
          <a:r>
            <a:rPr lang="en-US" sz="1100" baseline="0">
              <a:solidFill>
                <a:schemeClr val="dk1"/>
              </a:solidFill>
              <a:latin typeface="+mn-lt"/>
              <a:ea typeface="+mn-ea"/>
              <a:cs typeface="+mn-cs"/>
            </a:rPr>
            <a:t> Ball Valve </a:t>
          </a:r>
          <a:r>
            <a:rPr lang="en-US" sz="1100">
              <a:solidFill>
                <a:schemeClr val="dk1"/>
              </a:solidFill>
              <a:latin typeface="+mn-lt"/>
              <a:ea typeface="+mn-ea"/>
              <a:cs typeface="+mn-cs"/>
            </a:rPr>
            <a:t>1/4" NPT F/M w/ PTFE Seals. 600 psi @ 100° F. </a:t>
          </a:r>
          <a:r>
            <a:rPr lang="en-US" sz="1100">
              <a:solidFill>
                <a:schemeClr val="dk1"/>
              </a:solidFill>
              <a:effectLst/>
              <a:latin typeface="+mn-lt"/>
              <a:ea typeface="+mn-ea"/>
              <a:cs typeface="+mn-cs"/>
            </a:rPr>
            <a:t>4082T42</a:t>
          </a:r>
          <a:endParaRPr lang="en-US"/>
        </a:p>
      </xdr:txBody>
    </xdr:sp>
    <xdr:clientData/>
  </xdr:twoCellAnchor>
  <xdr:twoCellAnchor>
    <xdr:from>
      <xdr:col>18</xdr:col>
      <xdr:colOff>49779</xdr:colOff>
      <xdr:row>22</xdr:row>
      <xdr:rowOff>133349</xdr:rowOff>
    </xdr:from>
    <xdr:to>
      <xdr:col>20</xdr:col>
      <xdr:colOff>122083</xdr:colOff>
      <xdr:row>26</xdr:row>
      <xdr:rowOff>61497</xdr:rowOff>
    </xdr:to>
    <xdr:cxnSp macro="">
      <xdr:nvCxnSpPr>
        <xdr:cNvPr id="375" name="Straight Arrow Connector 374"/>
        <xdr:cNvCxnSpPr>
          <a:stCxn id="374" idx="2"/>
          <a:endCxn id="519" idx="2"/>
        </xdr:cNvCxnSpPr>
      </xdr:nvCxnSpPr>
      <xdr:spPr>
        <a:xfrm>
          <a:off x="13003779" y="3781424"/>
          <a:ext cx="1291504" cy="57584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517352</xdr:colOff>
      <xdr:row>27</xdr:row>
      <xdr:rowOff>70782</xdr:rowOff>
    </xdr:from>
    <xdr:to>
      <xdr:col>12</xdr:col>
      <xdr:colOff>386684</xdr:colOff>
      <xdr:row>28</xdr:row>
      <xdr:rowOff>37444</xdr:rowOff>
    </xdr:to>
    <xdr:grpSp>
      <xdr:nvGrpSpPr>
        <xdr:cNvPr id="376" name="Group 375"/>
        <xdr:cNvGrpSpPr/>
      </xdr:nvGrpSpPr>
      <xdr:grpSpPr>
        <a:xfrm rot="5400000">
          <a:off x="9150724" y="4353310"/>
          <a:ext cx="128587" cy="478932"/>
          <a:chOff x="9721694" y="5472979"/>
          <a:chExt cx="157162" cy="479798"/>
        </a:xfrm>
      </xdr:grpSpPr>
      <xdr:grpSp>
        <xdr:nvGrpSpPr>
          <xdr:cNvPr id="377" name="Group 376"/>
          <xdr:cNvGrpSpPr/>
        </xdr:nvGrpSpPr>
        <xdr:grpSpPr>
          <a:xfrm rot="16200000">
            <a:off x="9675259" y="5643700"/>
            <a:ext cx="250032" cy="157162"/>
            <a:chOff x="2667000" y="1262063"/>
            <a:chExt cx="428625" cy="226218"/>
          </a:xfrm>
        </xdr:grpSpPr>
        <xdr:sp macro="" textlink="">
          <xdr:nvSpPr>
            <xdr:cNvPr id="386" name="Rectangle 385"/>
            <xdr:cNvSpPr/>
          </xdr:nvSpPr>
          <xdr:spPr>
            <a:xfrm>
              <a:off x="2678906" y="1262063"/>
              <a:ext cx="416719" cy="2262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87" name="Straight Arrow Connector 386"/>
            <xdr:cNvCxnSpPr/>
          </xdr:nvCxnSpPr>
          <xdr:spPr>
            <a:xfrm flipH="1">
              <a:off x="2667000" y="1363261"/>
              <a:ext cx="416719" cy="1588"/>
            </a:xfrm>
            <a:prstGeom prst="straightConnector1">
              <a:avLst/>
            </a:prstGeom>
            <a:ln w="2667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grpSp>
        <xdr:nvGrpSpPr>
          <xdr:cNvPr id="378" name="Group 377"/>
          <xdr:cNvGrpSpPr/>
        </xdr:nvGrpSpPr>
        <xdr:grpSpPr>
          <a:xfrm rot="5400000">
            <a:off x="9738887" y="5471846"/>
            <a:ext cx="107308" cy="109573"/>
            <a:chOff x="11549063" y="1904999"/>
            <a:chExt cx="214312" cy="198439"/>
          </a:xfrm>
        </xdr:grpSpPr>
        <xdr:cxnSp macro="">
          <xdr:nvCxnSpPr>
            <xdr:cNvPr id="383" name="Straight Connector 382"/>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84" name="Straight Connector 383"/>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85" name="Straight Connector 384"/>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379" name="Group 378"/>
          <xdr:cNvGrpSpPr/>
        </xdr:nvGrpSpPr>
        <xdr:grpSpPr>
          <a:xfrm rot="16200000">
            <a:off x="9732699" y="5849001"/>
            <a:ext cx="108631" cy="98921"/>
            <a:chOff x="11549063" y="1904999"/>
            <a:chExt cx="214312" cy="198439"/>
          </a:xfrm>
        </xdr:grpSpPr>
        <xdr:cxnSp macro="">
          <xdr:nvCxnSpPr>
            <xdr:cNvPr id="380" name="Straight Connector 379"/>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81" name="Straight Connector 380"/>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382" name="Straight Connector 381"/>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12</xdr:col>
      <xdr:colOff>319478</xdr:colOff>
      <xdr:row>27</xdr:row>
      <xdr:rowOff>109242</xdr:rowOff>
    </xdr:from>
    <xdr:to>
      <xdr:col>12</xdr:col>
      <xdr:colOff>452828</xdr:colOff>
      <xdr:row>27</xdr:row>
      <xdr:rowOff>160042</xdr:rowOff>
    </xdr:to>
    <xdr:sp macro="" textlink="">
      <xdr:nvSpPr>
        <xdr:cNvPr id="423" name="Pentagon 422"/>
        <xdr:cNvSpPr/>
      </xdr:nvSpPr>
      <xdr:spPr>
        <a:xfrm rot="10800000">
          <a:off x="9398307" y="4530847"/>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300490</xdr:colOff>
      <xdr:row>23</xdr:row>
      <xdr:rowOff>52392</xdr:rowOff>
    </xdr:from>
    <xdr:to>
      <xdr:col>11</xdr:col>
      <xdr:colOff>587537</xdr:colOff>
      <xdr:row>28</xdr:row>
      <xdr:rowOff>3458</xdr:rowOff>
    </xdr:to>
    <xdr:grpSp>
      <xdr:nvGrpSpPr>
        <xdr:cNvPr id="424" name="Group 423"/>
        <xdr:cNvGrpSpPr/>
      </xdr:nvGrpSpPr>
      <xdr:grpSpPr>
        <a:xfrm>
          <a:off x="4996315" y="3862392"/>
          <a:ext cx="4049422" cy="760691"/>
          <a:chOff x="5175558" y="4433892"/>
          <a:chExt cx="4053752" cy="874991"/>
        </a:xfrm>
      </xdr:grpSpPr>
      <xdr:cxnSp macro="">
        <xdr:nvCxnSpPr>
          <xdr:cNvPr id="425" name="Straight Connector 424"/>
          <xdr:cNvCxnSpPr/>
        </xdr:nvCxnSpPr>
        <xdr:spPr>
          <a:xfrm flipH="1">
            <a:off x="5175558" y="5282094"/>
            <a:ext cx="393192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26" name="Pentagon 425"/>
          <xdr:cNvSpPr/>
        </xdr:nvSpPr>
        <xdr:spPr>
          <a:xfrm rot="16200000">
            <a:off x="5125663" y="4484715"/>
            <a:ext cx="152400" cy="5075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427" name="Straight Connector 426"/>
          <xdr:cNvCxnSpPr/>
        </xdr:nvCxnSpPr>
        <xdr:spPr>
          <a:xfrm flipV="1">
            <a:off x="5204787" y="4559075"/>
            <a:ext cx="249" cy="749808"/>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28" name="Pentagon 427"/>
          <xdr:cNvSpPr/>
        </xdr:nvSpPr>
        <xdr:spPr>
          <a:xfrm>
            <a:off x="9076910" y="5255773"/>
            <a:ext cx="15240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3</xdr:col>
      <xdr:colOff>520887</xdr:colOff>
      <xdr:row>1</xdr:row>
      <xdr:rowOff>148857</xdr:rowOff>
    </xdr:from>
    <xdr:to>
      <xdr:col>8</xdr:col>
      <xdr:colOff>127855</xdr:colOff>
      <xdr:row>4</xdr:row>
      <xdr:rowOff>18501</xdr:rowOff>
    </xdr:to>
    <xdr:sp macro="" textlink="">
      <xdr:nvSpPr>
        <xdr:cNvPr id="481" name="TextBox 480"/>
        <xdr:cNvSpPr txBox="1"/>
      </xdr:nvSpPr>
      <xdr:spPr>
        <a:xfrm>
          <a:off x="2530662" y="310782"/>
          <a:ext cx="3083593" cy="4411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Copper Tubing 1/8" OD (.061 ID, .032" WALL). 3' Length (Part 8967K863). 3410 PSI. </a:t>
          </a:r>
          <a:endParaRPr lang="en-US" sz="1100"/>
        </a:p>
      </xdr:txBody>
    </xdr:sp>
    <xdr:clientData/>
  </xdr:twoCellAnchor>
  <xdr:twoCellAnchor>
    <xdr:from>
      <xdr:col>7</xdr:col>
      <xdr:colOff>197248</xdr:colOff>
      <xdr:row>28</xdr:row>
      <xdr:rowOff>127942</xdr:rowOff>
    </xdr:from>
    <xdr:to>
      <xdr:col>9</xdr:col>
      <xdr:colOff>1402774</xdr:colOff>
      <xdr:row>31</xdr:row>
      <xdr:rowOff>25978</xdr:rowOff>
    </xdr:to>
    <xdr:sp macro="" textlink="">
      <xdr:nvSpPr>
        <xdr:cNvPr id="495" name="TextBox 494"/>
        <xdr:cNvSpPr txBox="1"/>
      </xdr:nvSpPr>
      <xdr:spPr>
        <a:xfrm>
          <a:off x="5074048" y="5461942"/>
          <a:ext cx="2605701" cy="4695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x2:</a:t>
          </a:r>
          <a:r>
            <a:rPr lang="en-US" sz="1100" baseline="0">
              <a:solidFill>
                <a:schemeClr val="dk1"/>
              </a:solidFill>
              <a:latin typeface="+mn-lt"/>
              <a:ea typeface="+mn-ea"/>
              <a:cs typeface="+mn-cs"/>
            </a:rPr>
            <a:t> </a:t>
          </a:r>
          <a:r>
            <a:rPr lang="en-US" sz="1100">
              <a:solidFill>
                <a:schemeClr val="dk1"/>
              </a:solidFill>
              <a:latin typeface="+mn-lt"/>
              <a:ea typeface="+mn-ea"/>
              <a:cs typeface="+mn-cs"/>
            </a:rPr>
            <a:t>4112T11 $10.50</a:t>
          </a:r>
          <a:r>
            <a:rPr lang="en-US" sz="1100" baseline="0">
              <a:solidFill>
                <a:schemeClr val="dk1"/>
              </a:solidFill>
              <a:latin typeface="+mn-lt"/>
              <a:ea typeface="+mn-ea"/>
              <a:cs typeface="+mn-cs"/>
            </a:rPr>
            <a:t>  </a:t>
          </a:r>
          <a:r>
            <a:rPr lang="en-US" sz="1100">
              <a:solidFill>
                <a:schemeClr val="dk1"/>
              </a:solidFill>
              <a:latin typeface="+mn-lt"/>
              <a:ea typeface="+mn-ea"/>
              <a:cs typeface="+mn-cs"/>
            </a:rPr>
            <a:t>McMaster </a:t>
          </a:r>
          <a:r>
            <a:rPr lang="en-US"/>
            <a:t>Brass 1/8"NPT /M</a:t>
          </a:r>
          <a:r>
            <a:rPr lang="en-US" baseline="0"/>
            <a:t> Ball Valve. </a:t>
          </a:r>
          <a:r>
            <a:rPr lang="en-US"/>
            <a:t>1000 psi @ 70° F. </a:t>
          </a:r>
        </a:p>
      </xdr:txBody>
    </xdr:sp>
    <xdr:clientData/>
  </xdr:twoCellAnchor>
  <xdr:twoCellAnchor>
    <xdr:from>
      <xdr:col>20</xdr:col>
      <xdr:colOff>303610</xdr:colOff>
      <xdr:row>16</xdr:row>
      <xdr:rowOff>4762</xdr:rowOff>
    </xdr:from>
    <xdr:to>
      <xdr:col>20</xdr:col>
      <xdr:colOff>399913</xdr:colOff>
      <xdr:row>16</xdr:row>
      <xdr:rowOff>142869</xdr:rowOff>
    </xdr:to>
    <xdr:grpSp>
      <xdr:nvGrpSpPr>
        <xdr:cNvPr id="499" name="Group 498"/>
        <xdr:cNvGrpSpPr/>
      </xdr:nvGrpSpPr>
      <xdr:grpSpPr>
        <a:xfrm rot="16200000">
          <a:off x="14455908" y="2702189"/>
          <a:ext cx="138107" cy="96303"/>
          <a:chOff x="4869656" y="2090744"/>
          <a:chExt cx="416719" cy="230974"/>
        </a:xfrm>
      </xdr:grpSpPr>
      <xdr:sp macro="" textlink="">
        <xdr:nvSpPr>
          <xdr:cNvPr id="500" name="Rectangle 499"/>
          <xdr:cNvSpPr/>
        </xdr:nvSpPr>
        <xdr:spPr>
          <a:xfrm>
            <a:off x="4869656" y="2095500"/>
            <a:ext cx="416719" cy="226218"/>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01" name="Straight Connector 500"/>
          <xdr:cNvCxnSpPr/>
        </xdr:nvCxnSpPr>
        <xdr:spPr>
          <a:xfrm rot="16200000" flipH="1">
            <a:off x="4845847" y="2208609"/>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02" name="Straight Connector 501"/>
          <xdr:cNvCxnSpPr/>
        </xdr:nvCxnSpPr>
        <xdr:spPr>
          <a:xfrm rot="16200000" flipH="1">
            <a:off x="4974435" y="2206231"/>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03" name="Straight Connector 502"/>
          <xdr:cNvCxnSpPr/>
        </xdr:nvCxnSpPr>
        <xdr:spPr>
          <a:xfrm rot="16200000" flipH="1">
            <a:off x="5079211" y="2203853"/>
            <a:ext cx="226218" cy="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369277</xdr:colOff>
      <xdr:row>17</xdr:row>
      <xdr:rowOff>156798</xdr:rowOff>
    </xdr:from>
    <xdr:to>
      <xdr:col>20</xdr:col>
      <xdr:colOff>369277</xdr:colOff>
      <xdr:row>20</xdr:row>
      <xdr:rowOff>130421</xdr:rowOff>
    </xdr:to>
    <xdr:cxnSp macro="">
      <xdr:nvCxnSpPr>
        <xdr:cNvPr id="504" name="Straight Connector 503"/>
        <xdr:cNvCxnSpPr/>
      </xdr:nvCxnSpPr>
      <xdr:spPr>
        <a:xfrm flipV="1">
          <a:off x="14532219" y="2984990"/>
          <a:ext cx="0" cy="45720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205153</xdr:colOff>
      <xdr:row>11</xdr:row>
      <xdr:rowOff>131886</xdr:rowOff>
    </xdr:from>
    <xdr:to>
      <xdr:col>26</xdr:col>
      <xdr:colOff>241789</xdr:colOff>
      <xdr:row>15</xdr:row>
      <xdr:rowOff>131885</xdr:rowOff>
    </xdr:to>
    <xdr:sp macro="" textlink="">
      <xdr:nvSpPr>
        <xdr:cNvPr id="505" name="TextBox 504"/>
        <xdr:cNvSpPr txBox="1"/>
      </xdr:nvSpPr>
      <xdr:spPr>
        <a:xfrm>
          <a:off x="15584365" y="1992924"/>
          <a:ext cx="2469174" cy="6447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x1.</a:t>
          </a:r>
          <a:r>
            <a:rPr lang="en-US" sz="1100" baseline="0"/>
            <a:t> </a:t>
          </a:r>
          <a:r>
            <a:rPr lang="en-US" sz="1100"/>
            <a:t>5355K31 High Pressure PTFE SS Braided hose</a:t>
          </a:r>
          <a:r>
            <a:rPr lang="en-US" sz="1100" baseline="0"/>
            <a:t> 4 feet. JIC 37</a:t>
          </a:r>
          <a:r>
            <a:rPr lang="en-US" sz="1100" baseline="30000"/>
            <a:t>o</a:t>
          </a:r>
          <a:r>
            <a:rPr lang="en-US" sz="1100" baseline="0"/>
            <a:t> F (to reg end) 1/4" NPT Male (to engine side).</a:t>
          </a:r>
          <a:endParaRPr lang="en-US" sz="1100"/>
        </a:p>
      </xdr:txBody>
    </xdr:sp>
    <xdr:clientData/>
  </xdr:twoCellAnchor>
  <xdr:twoCellAnchor>
    <xdr:from>
      <xdr:col>20</xdr:col>
      <xdr:colOff>362621</xdr:colOff>
      <xdr:row>13</xdr:row>
      <xdr:rowOff>131886</xdr:rowOff>
    </xdr:from>
    <xdr:to>
      <xdr:col>22</xdr:col>
      <xdr:colOff>205153</xdr:colOff>
      <xdr:row>20</xdr:row>
      <xdr:rowOff>121560</xdr:rowOff>
    </xdr:to>
    <xdr:cxnSp macro="">
      <xdr:nvCxnSpPr>
        <xdr:cNvPr id="506" name="Straight Arrow Connector 505"/>
        <xdr:cNvCxnSpPr>
          <a:stCxn id="505" idx="1"/>
          <a:endCxn id="299" idx="1"/>
        </xdr:cNvCxnSpPr>
      </xdr:nvCxnSpPr>
      <xdr:spPr>
        <a:xfrm flipH="1">
          <a:off x="14525563" y="2315309"/>
          <a:ext cx="1058802" cy="11180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329715</xdr:colOff>
      <xdr:row>16</xdr:row>
      <xdr:rowOff>153865</xdr:rowOff>
    </xdr:from>
    <xdr:to>
      <xdr:col>20</xdr:col>
      <xdr:colOff>380127</xdr:colOff>
      <xdr:row>17</xdr:row>
      <xdr:rowOff>115765</xdr:rowOff>
    </xdr:to>
    <xdr:sp macro="" textlink="">
      <xdr:nvSpPr>
        <xdr:cNvPr id="507" name="Pentagon 506"/>
        <xdr:cNvSpPr/>
      </xdr:nvSpPr>
      <xdr:spPr>
        <a:xfrm rot="5400000">
          <a:off x="14890071" y="3252859"/>
          <a:ext cx="152400"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20</xdr:col>
      <xdr:colOff>307727</xdr:colOff>
      <xdr:row>17</xdr:row>
      <xdr:rowOff>43958</xdr:rowOff>
    </xdr:from>
    <xdr:to>
      <xdr:col>20</xdr:col>
      <xdr:colOff>408592</xdr:colOff>
      <xdr:row>17</xdr:row>
      <xdr:rowOff>152589</xdr:rowOff>
    </xdr:to>
    <xdr:grpSp>
      <xdr:nvGrpSpPr>
        <xdr:cNvPr id="508" name="Group 507"/>
        <xdr:cNvGrpSpPr/>
      </xdr:nvGrpSpPr>
      <xdr:grpSpPr>
        <a:xfrm rot="5400000">
          <a:off x="14477044" y="2886291"/>
          <a:ext cx="108631" cy="100865"/>
          <a:chOff x="11549063" y="1904999"/>
          <a:chExt cx="214312" cy="198439"/>
        </a:xfrm>
      </xdr:grpSpPr>
      <xdr:cxnSp macro="">
        <xdr:nvCxnSpPr>
          <xdr:cNvPr id="509" name="Straight Connector 508"/>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10" name="Straight Connector 509"/>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11" name="Straight Connector 510"/>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19</xdr:col>
      <xdr:colOff>573054</xdr:colOff>
      <xdr:row>24</xdr:row>
      <xdr:rowOff>126761</xdr:rowOff>
    </xdr:from>
    <xdr:to>
      <xdr:col>20</xdr:col>
      <xdr:colOff>122087</xdr:colOff>
      <xdr:row>27</xdr:row>
      <xdr:rowOff>78087</xdr:rowOff>
    </xdr:to>
    <xdr:grpSp>
      <xdr:nvGrpSpPr>
        <xdr:cNvPr id="512" name="Group 511"/>
        <xdr:cNvGrpSpPr/>
      </xdr:nvGrpSpPr>
      <xdr:grpSpPr>
        <a:xfrm>
          <a:off x="14136654" y="4098686"/>
          <a:ext cx="158633" cy="437101"/>
          <a:chOff x="14882536" y="4740520"/>
          <a:chExt cx="157167" cy="522826"/>
        </a:xfrm>
      </xdr:grpSpPr>
      <xdr:grpSp>
        <xdr:nvGrpSpPr>
          <xdr:cNvPr id="513" name="Group 512"/>
          <xdr:cNvGrpSpPr/>
        </xdr:nvGrpSpPr>
        <xdr:grpSpPr>
          <a:xfrm rot="16200000">
            <a:off x="14848010" y="4975999"/>
            <a:ext cx="226219" cy="157167"/>
            <a:chOff x="5703094" y="3033714"/>
            <a:chExt cx="226219" cy="157167"/>
          </a:xfrm>
        </xdr:grpSpPr>
        <xdr:sp macro="" textlink="">
          <xdr:nvSpPr>
            <xdr:cNvPr id="519" name="Rectangle 518"/>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20" name="Straight Connector 519"/>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21" name="Straight Connector 520"/>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514" name="Pentagon 513"/>
          <xdr:cNvSpPr/>
        </xdr:nvSpPr>
        <xdr:spPr>
          <a:xfrm rot="16200000">
            <a:off x="14865543" y="4805153"/>
            <a:ext cx="19050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515" name="Group 514"/>
          <xdr:cNvGrpSpPr/>
        </xdr:nvGrpSpPr>
        <xdr:grpSpPr>
          <a:xfrm rot="16200000">
            <a:off x="14905419" y="5159570"/>
            <a:ext cx="108631" cy="98921"/>
            <a:chOff x="11549063" y="1904999"/>
            <a:chExt cx="214312" cy="198439"/>
          </a:xfrm>
        </xdr:grpSpPr>
        <xdr:cxnSp macro="">
          <xdr:nvCxnSpPr>
            <xdr:cNvPr id="516" name="Straight Connector 515"/>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17" name="Straight Connector 516"/>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18" name="Straight Connector 517"/>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25</xdr:col>
      <xdr:colOff>218344</xdr:colOff>
      <xdr:row>33</xdr:row>
      <xdr:rowOff>17393</xdr:rowOff>
    </xdr:from>
    <xdr:to>
      <xdr:col>29</xdr:col>
      <xdr:colOff>481196</xdr:colOff>
      <xdr:row>37</xdr:row>
      <xdr:rowOff>58615</xdr:rowOff>
    </xdr:to>
    <xdr:sp macro="" textlink="">
      <xdr:nvSpPr>
        <xdr:cNvPr id="522" name="TextBox 521"/>
        <xdr:cNvSpPr txBox="1"/>
      </xdr:nvSpPr>
      <xdr:spPr>
        <a:xfrm>
          <a:off x="17421959" y="5424662"/>
          <a:ext cx="2695391" cy="6859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x1.</a:t>
          </a:r>
          <a:r>
            <a:rPr lang="en-US" sz="1100" baseline="0"/>
            <a:t> </a:t>
          </a:r>
          <a:r>
            <a:rPr lang="en-US" sz="1100"/>
            <a:t>1/4" NPT F/F Extended Life Bronze Check Valve w/ PTFE seals. 400 psi @ 100oF. 47715K21 </a:t>
          </a:r>
        </a:p>
      </xdr:txBody>
    </xdr:sp>
    <xdr:clientData/>
  </xdr:twoCellAnchor>
  <xdr:twoCellAnchor>
    <xdr:from>
      <xdr:col>10</xdr:col>
      <xdr:colOff>109903</xdr:colOff>
      <xdr:row>39</xdr:row>
      <xdr:rowOff>6340</xdr:rowOff>
    </xdr:from>
    <xdr:to>
      <xdr:col>10</xdr:col>
      <xdr:colOff>225564</xdr:colOff>
      <xdr:row>41</xdr:row>
      <xdr:rowOff>38260</xdr:rowOff>
    </xdr:to>
    <xdr:grpSp>
      <xdr:nvGrpSpPr>
        <xdr:cNvPr id="524" name="Group 523"/>
        <xdr:cNvGrpSpPr/>
      </xdr:nvGrpSpPr>
      <xdr:grpSpPr>
        <a:xfrm rot="10800000">
          <a:off x="7729903" y="6407140"/>
          <a:ext cx="115661" cy="355770"/>
          <a:chOff x="12368892" y="4279450"/>
          <a:chExt cx="115661" cy="442228"/>
        </a:xfrm>
      </xdr:grpSpPr>
      <xdr:sp macro="" textlink="">
        <xdr:nvSpPr>
          <xdr:cNvPr id="525" name="Up Arrow 524"/>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6" name="Down Arrow 525"/>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27" name="Group 526"/>
          <xdr:cNvGrpSpPr/>
        </xdr:nvGrpSpPr>
        <xdr:grpSpPr>
          <a:xfrm rot="16200000">
            <a:off x="12341678" y="4578803"/>
            <a:ext cx="170089" cy="115661"/>
            <a:chOff x="11549063" y="1904999"/>
            <a:chExt cx="214312" cy="198439"/>
          </a:xfrm>
        </xdr:grpSpPr>
        <xdr:cxnSp macro="">
          <xdr:nvCxnSpPr>
            <xdr:cNvPr id="528" name="Straight Connector 527"/>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29" name="Straight Connector 528"/>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30" name="Straight Connector 529"/>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191545</xdr:colOff>
      <xdr:row>16</xdr:row>
      <xdr:rowOff>158860</xdr:rowOff>
    </xdr:from>
    <xdr:to>
      <xdr:col>11</xdr:col>
      <xdr:colOff>244917</xdr:colOff>
      <xdr:row>40</xdr:row>
      <xdr:rowOff>29421</xdr:rowOff>
    </xdr:to>
    <xdr:cxnSp macro="">
      <xdr:nvCxnSpPr>
        <xdr:cNvPr id="534" name="Straight Arrow Connector 533"/>
        <xdr:cNvCxnSpPr>
          <a:stCxn id="329" idx="3"/>
          <a:endCxn id="525" idx="1"/>
        </xdr:cNvCxnSpPr>
      </xdr:nvCxnSpPr>
      <xdr:spPr>
        <a:xfrm flipH="1">
          <a:off x="7818872" y="2825860"/>
          <a:ext cx="888641" cy="37391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143079</xdr:colOff>
      <xdr:row>40</xdr:row>
      <xdr:rowOff>9051</xdr:rowOff>
    </xdr:from>
    <xdr:to>
      <xdr:col>15</xdr:col>
      <xdr:colOff>511605</xdr:colOff>
      <xdr:row>41</xdr:row>
      <xdr:rowOff>106789</xdr:rowOff>
    </xdr:to>
    <xdr:cxnSp macro="">
      <xdr:nvCxnSpPr>
        <xdr:cNvPr id="545" name="Straight Arrow Connector 544"/>
        <xdr:cNvCxnSpPr>
          <a:stCxn id="546" idx="1"/>
          <a:endCxn id="938" idx="3"/>
        </xdr:cNvCxnSpPr>
      </xdr:nvCxnSpPr>
      <xdr:spPr>
        <a:xfrm flipH="1" flipV="1">
          <a:off x="10049079" y="6544666"/>
          <a:ext cx="1584795" cy="258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511605</xdr:colOff>
      <xdr:row>39</xdr:row>
      <xdr:rowOff>134997</xdr:rowOff>
    </xdr:from>
    <xdr:to>
      <xdr:col>19</xdr:col>
      <xdr:colOff>551809</xdr:colOff>
      <xdr:row>43</xdr:row>
      <xdr:rowOff>78581</xdr:rowOff>
    </xdr:to>
    <xdr:sp macro="" textlink="">
      <xdr:nvSpPr>
        <xdr:cNvPr id="546" name="TextBox 545"/>
        <xdr:cNvSpPr txBox="1"/>
      </xdr:nvSpPr>
      <xdr:spPr>
        <a:xfrm>
          <a:off x="11633874" y="6509420"/>
          <a:ext cx="2472743" cy="588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1/8" NPT GOX Compatible Quick Connect. Up to 250psi. Product TBD.</a:t>
          </a:r>
          <a:endParaRPr lang="en-US" sz="1100"/>
        </a:p>
      </xdr:txBody>
    </xdr:sp>
    <xdr:clientData/>
  </xdr:twoCellAnchor>
  <xdr:twoCellAnchor>
    <xdr:from>
      <xdr:col>12</xdr:col>
      <xdr:colOff>466222</xdr:colOff>
      <xdr:row>27</xdr:row>
      <xdr:rowOff>135356</xdr:rowOff>
    </xdr:from>
    <xdr:to>
      <xdr:col>12</xdr:col>
      <xdr:colOff>557662</xdr:colOff>
      <xdr:row>27</xdr:row>
      <xdr:rowOff>135356</xdr:rowOff>
    </xdr:to>
    <xdr:cxnSp macro="">
      <xdr:nvCxnSpPr>
        <xdr:cNvPr id="561" name="Straight Connector 560"/>
        <xdr:cNvCxnSpPr/>
      </xdr:nvCxnSpPr>
      <xdr:spPr>
        <a:xfrm flipH="1">
          <a:off x="9545051" y="4556961"/>
          <a:ext cx="9144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622843</xdr:colOff>
      <xdr:row>32</xdr:row>
      <xdr:rowOff>138697</xdr:rowOff>
    </xdr:from>
    <xdr:to>
      <xdr:col>6</xdr:col>
      <xdr:colOff>720079</xdr:colOff>
      <xdr:row>34</xdr:row>
      <xdr:rowOff>82857</xdr:rowOff>
    </xdr:to>
    <xdr:grpSp>
      <xdr:nvGrpSpPr>
        <xdr:cNvPr id="567" name="Group 566"/>
        <xdr:cNvGrpSpPr/>
      </xdr:nvGrpSpPr>
      <xdr:grpSpPr>
        <a:xfrm>
          <a:off x="4566193" y="5406022"/>
          <a:ext cx="97236" cy="268010"/>
          <a:chOff x="3829962" y="5042694"/>
          <a:chExt cx="97236" cy="265629"/>
        </a:xfrm>
      </xdr:grpSpPr>
      <xdr:sp macro="" textlink="">
        <xdr:nvSpPr>
          <xdr:cNvPr id="562" name="Pentagon 561"/>
          <xdr:cNvSpPr/>
        </xdr:nvSpPr>
        <xdr:spPr>
          <a:xfrm rot="16200000">
            <a:off x="3810000" y="5083969"/>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563" name="Group 562"/>
          <xdr:cNvGrpSpPr/>
        </xdr:nvGrpSpPr>
        <xdr:grpSpPr>
          <a:xfrm rot="16200000">
            <a:off x="3810000" y="5191125"/>
            <a:ext cx="137160" cy="97236"/>
            <a:chOff x="11549063" y="1904999"/>
            <a:chExt cx="214312" cy="198439"/>
          </a:xfrm>
        </xdr:grpSpPr>
        <xdr:cxnSp macro="">
          <xdr:nvCxnSpPr>
            <xdr:cNvPr id="564" name="Straight Connector 563"/>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65" name="Straight Connector 564"/>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66" name="Straight Connector 565"/>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9</xdr:col>
      <xdr:colOff>136097</xdr:colOff>
      <xdr:row>21</xdr:row>
      <xdr:rowOff>18959</xdr:rowOff>
    </xdr:from>
    <xdr:to>
      <xdr:col>11</xdr:col>
      <xdr:colOff>186603</xdr:colOff>
      <xdr:row>23</xdr:row>
      <xdr:rowOff>143059</xdr:rowOff>
    </xdr:to>
    <xdr:sp macro="" textlink="">
      <xdr:nvSpPr>
        <xdr:cNvPr id="568" name="TextBox 567"/>
        <xdr:cNvSpPr txBox="1"/>
      </xdr:nvSpPr>
      <xdr:spPr>
        <a:xfrm>
          <a:off x="6220191" y="3483678"/>
          <a:ext cx="2413896" cy="4455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Reducing Busing.</a:t>
          </a:r>
          <a:r>
            <a:rPr lang="en-US" baseline="0"/>
            <a:t> 1/4" M to 1/8" F Brass, 1000psi @ 72F  </a:t>
          </a:r>
          <a:r>
            <a:rPr lang="en-US"/>
            <a:t>50785K61</a:t>
          </a:r>
        </a:p>
      </xdr:txBody>
    </xdr:sp>
    <xdr:clientData/>
  </xdr:twoCellAnchor>
  <xdr:twoCellAnchor>
    <xdr:from>
      <xdr:col>6</xdr:col>
      <xdr:colOff>669556</xdr:colOff>
      <xdr:row>23</xdr:row>
      <xdr:rowOff>143059</xdr:rowOff>
    </xdr:from>
    <xdr:to>
      <xdr:col>9</xdr:col>
      <xdr:colOff>1340985</xdr:colOff>
      <xdr:row>33</xdr:row>
      <xdr:rowOff>111315</xdr:rowOff>
    </xdr:to>
    <xdr:cxnSp macro="">
      <xdr:nvCxnSpPr>
        <xdr:cNvPr id="569" name="Straight Arrow Connector 568"/>
        <xdr:cNvCxnSpPr>
          <a:stCxn id="568" idx="2"/>
          <a:endCxn id="562" idx="1"/>
        </xdr:cNvCxnSpPr>
      </xdr:nvCxnSpPr>
      <xdr:spPr>
        <a:xfrm flipH="1">
          <a:off x="4618768" y="3938405"/>
          <a:ext cx="2825544" cy="158017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622113</xdr:colOff>
      <xdr:row>29</xdr:row>
      <xdr:rowOff>73275</xdr:rowOff>
    </xdr:from>
    <xdr:to>
      <xdr:col>6</xdr:col>
      <xdr:colOff>719349</xdr:colOff>
      <xdr:row>31</xdr:row>
      <xdr:rowOff>17435</xdr:rowOff>
    </xdr:to>
    <xdr:grpSp>
      <xdr:nvGrpSpPr>
        <xdr:cNvPr id="573" name="Group 572"/>
        <xdr:cNvGrpSpPr/>
      </xdr:nvGrpSpPr>
      <xdr:grpSpPr>
        <a:xfrm rot="10800000">
          <a:off x="4565463" y="4854825"/>
          <a:ext cx="97236" cy="268010"/>
          <a:chOff x="3829962" y="5042694"/>
          <a:chExt cx="97236" cy="265629"/>
        </a:xfrm>
      </xdr:grpSpPr>
      <xdr:sp macro="" textlink="">
        <xdr:nvSpPr>
          <xdr:cNvPr id="574" name="Pentagon 573"/>
          <xdr:cNvSpPr/>
        </xdr:nvSpPr>
        <xdr:spPr>
          <a:xfrm rot="16200000">
            <a:off x="3810000" y="5083969"/>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575" name="Group 574"/>
          <xdr:cNvGrpSpPr/>
        </xdr:nvGrpSpPr>
        <xdr:grpSpPr>
          <a:xfrm rot="16200000">
            <a:off x="3810000" y="5191125"/>
            <a:ext cx="137160" cy="97236"/>
            <a:chOff x="11549063" y="1904999"/>
            <a:chExt cx="214312" cy="198439"/>
          </a:xfrm>
        </xdr:grpSpPr>
        <xdr:cxnSp macro="">
          <xdr:nvCxnSpPr>
            <xdr:cNvPr id="576" name="Straight Connector 575"/>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77" name="Straight Connector 576"/>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578" name="Straight Connector 577"/>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672636</xdr:colOff>
      <xdr:row>23</xdr:row>
      <xdr:rowOff>143059</xdr:rowOff>
    </xdr:from>
    <xdr:to>
      <xdr:col>9</xdr:col>
      <xdr:colOff>1340985</xdr:colOff>
      <xdr:row>30</xdr:row>
      <xdr:rowOff>44818</xdr:rowOff>
    </xdr:to>
    <xdr:cxnSp macro="">
      <xdr:nvCxnSpPr>
        <xdr:cNvPr id="581" name="Straight Arrow Connector 580"/>
        <xdr:cNvCxnSpPr>
          <a:stCxn id="568" idx="2"/>
          <a:endCxn id="574" idx="1"/>
        </xdr:cNvCxnSpPr>
      </xdr:nvCxnSpPr>
      <xdr:spPr>
        <a:xfrm flipH="1">
          <a:off x="4621848" y="3938405"/>
          <a:ext cx="2822464" cy="10301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146536</xdr:colOff>
      <xdr:row>38</xdr:row>
      <xdr:rowOff>139247</xdr:rowOff>
    </xdr:from>
    <xdr:to>
      <xdr:col>10</xdr:col>
      <xdr:colOff>197336</xdr:colOff>
      <xdr:row>39</xdr:row>
      <xdr:rowOff>102146</xdr:rowOff>
    </xdr:to>
    <xdr:sp macro="" textlink="">
      <xdr:nvSpPr>
        <xdr:cNvPr id="605" name="Pentagon 604"/>
        <xdr:cNvSpPr/>
      </xdr:nvSpPr>
      <xdr:spPr>
        <a:xfrm rot="5400000">
          <a:off x="7737217" y="6389124"/>
          <a:ext cx="124091"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20523</xdr:colOff>
      <xdr:row>24</xdr:row>
      <xdr:rowOff>21938</xdr:rowOff>
    </xdr:from>
    <xdr:to>
      <xdr:col>15</xdr:col>
      <xdr:colOff>536241</xdr:colOff>
      <xdr:row>26</xdr:row>
      <xdr:rowOff>0</xdr:rowOff>
    </xdr:to>
    <xdr:cxnSp macro="">
      <xdr:nvCxnSpPr>
        <xdr:cNvPr id="610" name="Straight Arrow Connector 609"/>
        <xdr:cNvCxnSpPr>
          <a:stCxn id="48" idx="2"/>
          <a:endCxn id="109" idx="2"/>
        </xdr:cNvCxnSpPr>
      </xdr:nvCxnSpPr>
      <xdr:spPr>
        <a:xfrm flipH="1" flipV="1">
          <a:off x="3969735" y="3978476"/>
          <a:ext cx="7688775" cy="30044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650088</xdr:colOff>
      <xdr:row>34</xdr:row>
      <xdr:rowOff>14659</xdr:rowOff>
    </xdr:from>
    <xdr:to>
      <xdr:col>6</xdr:col>
      <xdr:colOff>700888</xdr:colOff>
      <xdr:row>34</xdr:row>
      <xdr:rowOff>137751</xdr:rowOff>
    </xdr:to>
    <xdr:sp macro="" textlink="">
      <xdr:nvSpPr>
        <xdr:cNvPr id="602" name="Pentagon 601"/>
        <xdr:cNvSpPr/>
      </xdr:nvSpPr>
      <xdr:spPr>
        <a:xfrm rot="16200000">
          <a:off x="4563154" y="5619267"/>
          <a:ext cx="123092"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643804</xdr:colOff>
      <xdr:row>38</xdr:row>
      <xdr:rowOff>51293</xdr:rowOff>
    </xdr:from>
    <xdr:to>
      <xdr:col>10</xdr:col>
      <xdr:colOff>193521</xdr:colOff>
      <xdr:row>38</xdr:row>
      <xdr:rowOff>51293</xdr:rowOff>
    </xdr:to>
    <xdr:cxnSp macro="">
      <xdr:nvCxnSpPr>
        <xdr:cNvPr id="604" name="Straight Connector 603"/>
        <xdr:cNvCxnSpPr/>
      </xdr:nvCxnSpPr>
      <xdr:spPr>
        <a:xfrm flipH="1">
          <a:off x="4593016" y="6264524"/>
          <a:ext cx="3227832"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462861</xdr:colOff>
      <xdr:row>22</xdr:row>
      <xdr:rowOff>105276</xdr:rowOff>
    </xdr:from>
    <xdr:to>
      <xdr:col>6</xdr:col>
      <xdr:colOff>20523</xdr:colOff>
      <xdr:row>25</xdr:row>
      <xdr:rowOff>60232</xdr:rowOff>
    </xdr:to>
    <xdr:grpSp>
      <xdr:nvGrpSpPr>
        <xdr:cNvPr id="832" name="Group 831"/>
        <xdr:cNvGrpSpPr/>
      </xdr:nvGrpSpPr>
      <xdr:grpSpPr>
        <a:xfrm>
          <a:off x="3815661" y="3753351"/>
          <a:ext cx="148212" cy="440731"/>
          <a:chOff x="8251381" y="5915527"/>
          <a:chExt cx="151143" cy="438533"/>
        </a:xfrm>
      </xdr:grpSpPr>
      <xdr:grpSp>
        <xdr:nvGrpSpPr>
          <xdr:cNvPr id="108" name="Group 107"/>
          <xdr:cNvGrpSpPr/>
        </xdr:nvGrpSpPr>
        <xdr:grpSpPr>
          <a:xfrm rot="16200000">
            <a:off x="8213349" y="6082158"/>
            <a:ext cx="227207" cy="151143"/>
            <a:chOff x="2667000" y="1262063"/>
            <a:chExt cx="428626" cy="226218"/>
          </a:xfrm>
        </xdr:grpSpPr>
        <xdr:sp macro="" textlink="">
          <xdr:nvSpPr>
            <xdr:cNvPr id="109" name="Rectangle 108"/>
            <xdr:cNvSpPr/>
          </xdr:nvSpPr>
          <xdr:spPr>
            <a:xfrm>
              <a:off x="2678907" y="1262063"/>
              <a:ext cx="416719" cy="2262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10" name="Straight Arrow Connector 109"/>
            <xdr:cNvCxnSpPr/>
          </xdr:nvCxnSpPr>
          <xdr:spPr>
            <a:xfrm flipH="1">
              <a:off x="2667000" y="1363266"/>
              <a:ext cx="416719" cy="1588"/>
            </a:xfrm>
            <a:prstGeom prst="straightConnector1">
              <a:avLst/>
            </a:prstGeom>
            <a:ln w="2667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grpSp>
        <xdr:nvGrpSpPr>
          <xdr:cNvPr id="111" name="Group 110"/>
          <xdr:cNvGrpSpPr/>
        </xdr:nvGrpSpPr>
        <xdr:grpSpPr>
          <a:xfrm rot="16200000">
            <a:off x="8275635" y="6246852"/>
            <a:ext cx="106309" cy="108108"/>
            <a:chOff x="11549063" y="1904999"/>
            <a:chExt cx="214312" cy="198439"/>
          </a:xfrm>
        </xdr:grpSpPr>
        <xdr:cxnSp macro="">
          <xdr:nvCxnSpPr>
            <xdr:cNvPr id="112" name="Straight Connector 111"/>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3" name="Straight Connector 112"/>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4" name="Straight Connector 113"/>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606" name="Group 605"/>
          <xdr:cNvGrpSpPr/>
        </xdr:nvGrpSpPr>
        <xdr:grpSpPr>
          <a:xfrm rot="5400000">
            <a:off x="8269665" y="5914628"/>
            <a:ext cx="106309" cy="108108"/>
            <a:chOff x="11549063" y="1904999"/>
            <a:chExt cx="214312" cy="198439"/>
          </a:xfrm>
        </xdr:grpSpPr>
        <xdr:cxnSp macro="">
          <xdr:nvCxnSpPr>
            <xdr:cNvPr id="607" name="Straight Connector 606"/>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08" name="Straight Connector 607"/>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09" name="Straight Connector 608"/>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146536</xdr:colOff>
      <xdr:row>36</xdr:row>
      <xdr:rowOff>9357</xdr:rowOff>
    </xdr:from>
    <xdr:to>
      <xdr:col>13</xdr:col>
      <xdr:colOff>254113</xdr:colOff>
      <xdr:row>39</xdr:row>
      <xdr:rowOff>27629</xdr:rowOff>
    </xdr:to>
    <xdr:cxnSp macro="">
      <xdr:nvCxnSpPr>
        <xdr:cNvPr id="615" name="Straight Arrow Connector 614"/>
        <xdr:cNvCxnSpPr>
          <a:stCxn id="89" idx="2"/>
          <a:endCxn id="605" idx="2"/>
        </xdr:cNvCxnSpPr>
      </xdr:nvCxnSpPr>
      <xdr:spPr>
        <a:xfrm flipH="1">
          <a:off x="7754630" y="5885091"/>
          <a:ext cx="2393577" cy="5004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14</xdr:row>
      <xdr:rowOff>0</xdr:rowOff>
    </xdr:from>
    <xdr:to>
      <xdr:col>41</xdr:col>
      <xdr:colOff>202406</xdr:colOff>
      <xdr:row>14</xdr:row>
      <xdr:rowOff>83344</xdr:rowOff>
    </xdr:to>
    <xdr:sp macro="" textlink="">
      <xdr:nvSpPr>
        <xdr:cNvPr id="675" name="Pentagon 674"/>
        <xdr:cNvSpPr/>
      </xdr:nvSpPr>
      <xdr:spPr>
        <a:xfrm>
          <a:off x="27024724" y="2377966"/>
          <a:ext cx="202406" cy="83344"/>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35</xdr:col>
      <xdr:colOff>223344</xdr:colOff>
      <xdr:row>15</xdr:row>
      <xdr:rowOff>151086</xdr:rowOff>
    </xdr:from>
    <xdr:to>
      <xdr:col>35</xdr:col>
      <xdr:colOff>395780</xdr:colOff>
      <xdr:row>18</xdr:row>
      <xdr:rowOff>145832</xdr:rowOff>
    </xdr:to>
    <xdr:grpSp>
      <xdr:nvGrpSpPr>
        <xdr:cNvPr id="682" name="Group 681"/>
        <xdr:cNvGrpSpPr/>
      </xdr:nvGrpSpPr>
      <xdr:grpSpPr>
        <a:xfrm>
          <a:off x="23540544" y="2665686"/>
          <a:ext cx="172436" cy="480521"/>
          <a:chOff x="23582585" y="2693276"/>
          <a:chExt cx="172436" cy="487418"/>
        </a:xfrm>
      </xdr:grpSpPr>
      <xdr:grpSp>
        <xdr:nvGrpSpPr>
          <xdr:cNvPr id="649" name="Group 648"/>
          <xdr:cNvGrpSpPr/>
        </xdr:nvGrpSpPr>
        <xdr:grpSpPr>
          <a:xfrm>
            <a:off x="23582585" y="2839468"/>
            <a:ext cx="172436" cy="193776"/>
            <a:chOff x="5703094" y="3033714"/>
            <a:chExt cx="226219" cy="157167"/>
          </a:xfrm>
          <a:solidFill>
            <a:srgbClr val="A5D773"/>
          </a:solidFill>
        </xdr:grpSpPr>
        <xdr:sp macro="" textlink="">
          <xdr:nvSpPr>
            <xdr:cNvPr id="658" name="Rectangle 657"/>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59" name="Straight Connector 658"/>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60" name="Straight Connector 659"/>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80" name="Pentagon 679"/>
          <xdr:cNvSpPr/>
        </xdr:nvSpPr>
        <xdr:spPr>
          <a:xfrm rot="5400000">
            <a:off x="23603851" y="3092426"/>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681" name="Pentagon 680"/>
          <xdr:cNvSpPr/>
        </xdr:nvSpPr>
        <xdr:spPr>
          <a:xfrm rot="16200000">
            <a:off x="23597282" y="2731132"/>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4</xdr:col>
      <xdr:colOff>428475</xdr:colOff>
      <xdr:row>30</xdr:row>
      <xdr:rowOff>93833</xdr:rowOff>
    </xdr:from>
    <xdr:to>
      <xdr:col>4</xdr:col>
      <xdr:colOff>600911</xdr:colOff>
      <xdr:row>33</xdr:row>
      <xdr:rowOff>88578</xdr:rowOff>
    </xdr:to>
    <xdr:grpSp>
      <xdr:nvGrpSpPr>
        <xdr:cNvPr id="683" name="Group 682"/>
        <xdr:cNvGrpSpPr/>
      </xdr:nvGrpSpPr>
      <xdr:grpSpPr>
        <a:xfrm>
          <a:off x="3047850" y="5037308"/>
          <a:ext cx="172436" cy="480520"/>
          <a:chOff x="23582585" y="2693276"/>
          <a:chExt cx="172436" cy="487418"/>
        </a:xfrm>
      </xdr:grpSpPr>
      <xdr:grpSp>
        <xdr:nvGrpSpPr>
          <xdr:cNvPr id="684" name="Group 683"/>
          <xdr:cNvGrpSpPr/>
        </xdr:nvGrpSpPr>
        <xdr:grpSpPr>
          <a:xfrm>
            <a:off x="23582585" y="2839468"/>
            <a:ext cx="172436" cy="193776"/>
            <a:chOff x="5703094" y="3033714"/>
            <a:chExt cx="226219" cy="157167"/>
          </a:xfrm>
          <a:solidFill>
            <a:srgbClr val="A5D773"/>
          </a:solidFill>
        </xdr:grpSpPr>
        <xdr:sp macro="" textlink="">
          <xdr:nvSpPr>
            <xdr:cNvPr id="687" name="Rectangle 686"/>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88" name="Straight Connector 687"/>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89" name="Straight Connector 688"/>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85" name="Pentagon 684"/>
          <xdr:cNvSpPr/>
        </xdr:nvSpPr>
        <xdr:spPr>
          <a:xfrm rot="5400000">
            <a:off x="23603851" y="3092426"/>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686" name="Pentagon 685"/>
          <xdr:cNvSpPr/>
        </xdr:nvSpPr>
        <xdr:spPr>
          <a:xfrm rot="16200000">
            <a:off x="23597282" y="2731132"/>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4</xdr:col>
      <xdr:colOff>450066</xdr:colOff>
      <xdr:row>29</xdr:row>
      <xdr:rowOff>85816</xdr:rowOff>
    </xdr:from>
    <xdr:to>
      <xdr:col>4</xdr:col>
      <xdr:colOff>582511</xdr:colOff>
      <xdr:row>30</xdr:row>
      <xdr:rowOff>159370</xdr:rowOff>
    </xdr:to>
    <xdr:grpSp>
      <xdr:nvGrpSpPr>
        <xdr:cNvPr id="801" name="Group 800"/>
        <xdr:cNvGrpSpPr/>
      </xdr:nvGrpSpPr>
      <xdr:grpSpPr>
        <a:xfrm>
          <a:off x="3069441" y="4867366"/>
          <a:ext cx="132445" cy="235479"/>
          <a:chOff x="3541190" y="4583497"/>
          <a:chExt cx="132445" cy="238933"/>
        </a:xfrm>
      </xdr:grpSpPr>
      <xdr:grpSp>
        <xdr:nvGrpSpPr>
          <xdr:cNvPr id="690" name="Group 689"/>
          <xdr:cNvGrpSpPr/>
        </xdr:nvGrpSpPr>
        <xdr:grpSpPr>
          <a:xfrm rot="16200000">
            <a:off x="3555508" y="4704303"/>
            <a:ext cx="109253" cy="127001"/>
            <a:chOff x="11549063" y="1904999"/>
            <a:chExt cx="214312" cy="198439"/>
          </a:xfrm>
        </xdr:grpSpPr>
        <xdr:cxnSp macro="">
          <xdr:nvCxnSpPr>
            <xdr:cNvPr id="691" name="Straight Connector 690"/>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92" name="Straight Connector 691"/>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93" name="Straight Connector 692"/>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694" name="Group 693"/>
          <xdr:cNvGrpSpPr/>
        </xdr:nvGrpSpPr>
        <xdr:grpSpPr>
          <a:xfrm rot="5400000">
            <a:off x="3550064" y="4574623"/>
            <a:ext cx="109253" cy="127001"/>
            <a:chOff x="11549063" y="1904999"/>
            <a:chExt cx="214312" cy="198439"/>
          </a:xfrm>
        </xdr:grpSpPr>
        <xdr:cxnSp macro="">
          <xdr:nvCxnSpPr>
            <xdr:cNvPr id="695" name="Straight Connector 69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96" name="Straight Connector 69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697" name="Straight Connector 69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749299</xdr:colOff>
      <xdr:row>44</xdr:row>
      <xdr:rowOff>14410</xdr:rowOff>
    </xdr:from>
    <xdr:to>
      <xdr:col>9</xdr:col>
      <xdr:colOff>1019247</xdr:colOff>
      <xdr:row>46</xdr:row>
      <xdr:rowOff>141267</xdr:rowOff>
    </xdr:to>
    <xdr:sp macro="" textlink="">
      <xdr:nvSpPr>
        <xdr:cNvPr id="699" name="TextBox 698"/>
        <xdr:cNvSpPr txBox="1"/>
      </xdr:nvSpPr>
      <xdr:spPr>
        <a:xfrm>
          <a:off x="4698511" y="7194795"/>
          <a:ext cx="2424063" cy="4492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Qarter turn 1/4" M</a:t>
          </a:r>
          <a:r>
            <a:rPr lang="en-US" baseline="0"/>
            <a:t> NPT Plug Valve (Swagelok) </a:t>
          </a:r>
          <a:r>
            <a:rPr lang="en-US"/>
            <a:t>SS-4P4T2</a:t>
          </a:r>
        </a:p>
      </xdr:txBody>
    </xdr:sp>
    <xdr:clientData/>
  </xdr:twoCellAnchor>
  <xdr:twoCellAnchor>
    <xdr:from>
      <xdr:col>4</xdr:col>
      <xdr:colOff>435735</xdr:colOff>
      <xdr:row>32</xdr:row>
      <xdr:rowOff>9620</xdr:rowOff>
    </xdr:from>
    <xdr:to>
      <xdr:col>8</xdr:col>
      <xdr:colOff>417548</xdr:colOff>
      <xdr:row>44</xdr:row>
      <xdr:rowOff>14410</xdr:rowOff>
    </xdr:to>
    <xdr:cxnSp macro="">
      <xdr:nvCxnSpPr>
        <xdr:cNvPr id="700" name="Straight Arrow Connector 699"/>
        <xdr:cNvCxnSpPr>
          <a:stCxn id="699" idx="0"/>
          <a:endCxn id="687" idx="1"/>
        </xdr:cNvCxnSpPr>
      </xdr:nvCxnSpPr>
      <xdr:spPr>
        <a:xfrm flipH="1" flipV="1">
          <a:off x="3055110" y="5276945"/>
          <a:ext cx="2848838" cy="19478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459399</xdr:colOff>
      <xdr:row>4</xdr:row>
      <xdr:rowOff>141611</xdr:rowOff>
    </xdr:from>
    <xdr:to>
      <xdr:col>6</xdr:col>
      <xdr:colOff>226138</xdr:colOff>
      <xdr:row>7</xdr:row>
      <xdr:rowOff>104976</xdr:rowOff>
    </xdr:to>
    <xdr:sp macro="" textlink="">
      <xdr:nvSpPr>
        <xdr:cNvPr id="738" name="TextBox 737"/>
        <xdr:cNvSpPr txBox="1"/>
      </xdr:nvSpPr>
      <xdr:spPr>
        <a:xfrm>
          <a:off x="1756264" y="874303"/>
          <a:ext cx="2419086" cy="4469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eaLnBrk="1" fontAlgn="auto" latinLnBrk="0" hangingPunct="1"/>
          <a:r>
            <a:rPr lang="en-US" sz="1100">
              <a:solidFill>
                <a:schemeClr val="dk1"/>
              </a:solidFill>
              <a:effectLst/>
              <a:latin typeface="+mn-lt"/>
              <a:ea typeface="+mn-ea"/>
              <a:cs typeface="+mn-cs"/>
            </a:rPr>
            <a:t>Mcmaster.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Brass 1/8"NPT M/M</a:t>
          </a:r>
          <a:r>
            <a:rPr lang="en-US" sz="1100" baseline="0">
              <a:solidFill>
                <a:schemeClr val="dk1"/>
              </a:solidFill>
              <a:effectLst/>
              <a:latin typeface="+mn-lt"/>
              <a:ea typeface="+mn-ea"/>
              <a:cs typeface="+mn-cs"/>
            </a:rPr>
            <a:t> Ball Valve </a:t>
          </a:r>
          <a:r>
            <a:rPr lang="en-US" sz="1100">
              <a:solidFill>
                <a:schemeClr val="dk1"/>
              </a:solidFill>
              <a:effectLst/>
              <a:latin typeface="+mn-lt"/>
              <a:ea typeface="+mn-ea"/>
              <a:cs typeface="+mn-cs"/>
            </a:rPr>
            <a:t>1000 psi @ 70° F 4112T51</a:t>
          </a:r>
          <a:endParaRPr lang="en-US">
            <a:effectLst/>
          </a:endParaRPr>
        </a:p>
      </xdr:txBody>
    </xdr:sp>
    <xdr:clientData/>
  </xdr:twoCellAnchor>
  <xdr:twoCellAnchor>
    <xdr:from>
      <xdr:col>6</xdr:col>
      <xdr:colOff>226138</xdr:colOff>
      <xdr:row>6</xdr:row>
      <xdr:rowOff>42697</xdr:rowOff>
    </xdr:from>
    <xdr:to>
      <xdr:col>6</xdr:col>
      <xdr:colOff>739401</xdr:colOff>
      <xdr:row>28</xdr:row>
      <xdr:rowOff>52255</xdr:rowOff>
    </xdr:to>
    <xdr:cxnSp macro="">
      <xdr:nvCxnSpPr>
        <xdr:cNvPr id="742" name="Straight Arrow Connector 741"/>
        <xdr:cNvCxnSpPr>
          <a:stCxn id="738" idx="3"/>
          <a:endCxn id="735" idx="2"/>
        </xdr:cNvCxnSpPr>
      </xdr:nvCxnSpPr>
      <xdr:spPr>
        <a:xfrm>
          <a:off x="4175350" y="1097774"/>
          <a:ext cx="513263" cy="35557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456223</xdr:colOff>
      <xdr:row>19</xdr:row>
      <xdr:rowOff>105787</xdr:rowOff>
    </xdr:from>
    <xdr:to>
      <xdr:col>5</xdr:col>
      <xdr:colOff>592438</xdr:colOff>
      <xdr:row>22</xdr:row>
      <xdr:rowOff>61237</xdr:rowOff>
    </xdr:to>
    <xdr:grpSp>
      <xdr:nvGrpSpPr>
        <xdr:cNvPr id="747" name="Group 746"/>
        <xdr:cNvGrpSpPr/>
      </xdr:nvGrpSpPr>
      <xdr:grpSpPr>
        <a:xfrm>
          <a:off x="3809023" y="3268087"/>
          <a:ext cx="136215" cy="441225"/>
          <a:chOff x="5047494" y="4484160"/>
          <a:chExt cx="142875" cy="530858"/>
        </a:xfrm>
      </xdr:grpSpPr>
      <xdr:sp macro="" textlink="">
        <xdr:nvSpPr>
          <xdr:cNvPr id="748" name="Rectangle 747"/>
          <xdr:cNvSpPr/>
        </xdr:nvSpPr>
        <xdr:spPr>
          <a:xfrm>
            <a:off x="5047494" y="4585608"/>
            <a:ext cx="142875" cy="319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9" name="Oval 748"/>
          <xdr:cNvSpPr/>
        </xdr:nvSpPr>
        <xdr:spPr>
          <a:xfrm>
            <a:off x="5087559" y="4677078"/>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0" name="Oval 749"/>
          <xdr:cNvSpPr/>
        </xdr:nvSpPr>
        <xdr:spPr>
          <a:xfrm>
            <a:off x="5085291" y="4820707"/>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1" name="Oval 750"/>
          <xdr:cNvSpPr/>
        </xdr:nvSpPr>
        <xdr:spPr>
          <a:xfrm>
            <a:off x="5122333" y="4773084"/>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2" name="Oval 751"/>
          <xdr:cNvSpPr/>
        </xdr:nvSpPr>
        <xdr:spPr>
          <a:xfrm>
            <a:off x="5137150" y="4846108"/>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3" name="Oval 752"/>
          <xdr:cNvSpPr/>
        </xdr:nvSpPr>
        <xdr:spPr>
          <a:xfrm>
            <a:off x="5077883" y="4739217"/>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4" name="Oval 753"/>
          <xdr:cNvSpPr/>
        </xdr:nvSpPr>
        <xdr:spPr>
          <a:xfrm>
            <a:off x="5092699" y="4617205"/>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55" name="Oval 754"/>
          <xdr:cNvSpPr/>
        </xdr:nvSpPr>
        <xdr:spPr>
          <a:xfrm>
            <a:off x="5144558" y="4678892"/>
            <a:ext cx="18288" cy="1828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756" name="Group 755"/>
          <xdr:cNvGrpSpPr/>
        </xdr:nvGrpSpPr>
        <xdr:grpSpPr>
          <a:xfrm rot="5400000">
            <a:off x="5065397" y="4488181"/>
            <a:ext cx="108583" cy="100541"/>
            <a:chOff x="11549063" y="1904999"/>
            <a:chExt cx="214312" cy="198439"/>
          </a:xfrm>
        </xdr:grpSpPr>
        <xdr:cxnSp macro="">
          <xdr:nvCxnSpPr>
            <xdr:cNvPr id="761" name="Straight Connector 760"/>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62" name="Straight Connector 761"/>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63" name="Straight Connector 762"/>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757" name="Group 756"/>
          <xdr:cNvGrpSpPr/>
        </xdr:nvGrpSpPr>
        <xdr:grpSpPr>
          <a:xfrm rot="16200000">
            <a:off x="5064338" y="4910456"/>
            <a:ext cx="108583" cy="100541"/>
            <a:chOff x="11549063" y="1904999"/>
            <a:chExt cx="214312" cy="198439"/>
          </a:xfrm>
        </xdr:grpSpPr>
        <xdr:cxnSp macro="">
          <xdr:nvCxnSpPr>
            <xdr:cNvPr id="758" name="Straight Connector 757"/>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59" name="Straight Connector 758"/>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60" name="Straight Connector 759"/>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371475</xdr:colOff>
      <xdr:row>37</xdr:row>
      <xdr:rowOff>133350</xdr:rowOff>
    </xdr:from>
    <xdr:to>
      <xdr:col>4</xdr:col>
      <xdr:colOff>230869</xdr:colOff>
      <xdr:row>40</xdr:row>
      <xdr:rowOff>133350</xdr:rowOff>
    </xdr:to>
    <xdr:sp macro="" textlink="">
      <xdr:nvSpPr>
        <xdr:cNvPr id="766" name="TextBox 765"/>
        <xdr:cNvSpPr txBox="1"/>
      </xdr:nvSpPr>
      <xdr:spPr>
        <a:xfrm>
          <a:off x="371475" y="6210300"/>
          <a:ext cx="2478769"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500psi </a:t>
          </a:r>
          <a:r>
            <a:rPr lang="en-US" baseline="0"/>
            <a:t>Brass in-line strainer 1/8" NPT F 9802K5</a:t>
          </a:r>
          <a:endParaRPr lang="en-US"/>
        </a:p>
      </xdr:txBody>
    </xdr:sp>
    <xdr:clientData/>
  </xdr:twoCellAnchor>
  <xdr:twoCellAnchor>
    <xdr:from>
      <xdr:col>7</xdr:col>
      <xdr:colOff>29766</xdr:colOff>
      <xdr:row>39</xdr:row>
      <xdr:rowOff>160733</xdr:rowOff>
    </xdr:from>
    <xdr:to>
      <xdr:col>9</xdr:col>
      <xdr:colOff>1046143</xdr:colOff>
      <xdr:row>42</xdr:row>
      <xdr:rowOff>127588</xdr:rowOff>
    </xdr:to>
    <xdr:sp macro="" textlink="">
      <xdr:nvSpPr>
        <xdr:cNvPr id="783" name="TextBox 782"/>
        <xdr:cNvSpPr txBox="1"/>
      </xdr:nvSpPr>
      <xdr:spPr>
        <a:xfrm>
          <a:off x="4714875" y="6518671"/>
          <a:ext cx="2415362" cy="449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1/4" F to 1/8" F reducing Brass</a:t>
          </a:r>
          <a:r>
            <a:rPr lang="en-US" baseline="0"/>
            <a:t> pipe coupling (50785K181)</a:t>
          </a:r>
          <a:endParaRPr lang="en-US"/>
        </a:p>
      </xdr:txBody>
    </xdr:sp>
    <xdr:clientData/>
  </xdr:twoCellAnchor>
  <xdr:twoCellAnchor>
    <xdr:from>
      <xdr:col>0</xdr:col>
      <xdr:colOff>0</xdr:colOff>
      <xdr:row>26</xdr:row>
      <xdr:rowOff>26377</xdr:rowOff>
    </xdr:from>
    <xdr:to>
      <xdr:col>3</xdr:col>
      <xdr:colOff>409158</xdr:colOff>
      <xdr:row>28</xdr:row>
      <xdr:rowOff>150933</xdr:rowOff>
    </xdr:to>
    <xdr:sp macro="" textlink="">
      <xdr:nvSpPr>
        <xdr:cNvPr id="790" name="TextBox 789"/>
        <xdr:cNvSpPr txBox="1"/>
      </xdr:nvSpPr>
      <xdr:spPr>
        <a:xfrm>
          <a:off x="0" y="4305300"/>
          <a:ext cx="2424062" cy="446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F/M/F</a:t>
          </a:r>
          <a:r>
            <a:rPr lang="en-US" baseline="0"/>
            <a:t> pipe Tee. 1000psi @ 72F. 50785K321</a:t>
          </a:r>
          <a:endParaRPr lang="en-US"/>
        </a:p>
      </xdr:txBody>
    </xdr:sp>
    <xdr:clientData/>
  </xdr:twoCellAnchor>
  <xdr:twoCellAnchor>
    <xdr:from>
      <xdr:col>6</xdr:col>
      <xdr:colOff>615150</xdr:colOff>
      <xdr:row>26</xdr:row>
      <xdr:rowOff>120002</xdr:rowOff>
    </xdr:from>
    <xdr:to>
      <xdr:col>6</xdr:col>
      <xdr:colOff>739405</xdr:colOff>
      <xdr:row>29</xdr:row>
      <xdr:rowOff>145940</xdr:rowOff>
    </xdr:to>
    <xdr:grpSp>
      <xdr:nvGrpSpPr>
        <xdr:cNvPr id="792" name="Group 791"/>
        <xdr:cNvGrpSpPr/>
      </xdr:nvGrpSpPr>
      <xdr:grpSpPr>
        <a:xfrm>
          <a:off x="4558500" y="4415777"/>
          <a:ext cx="124255" cy="511713"/>
          <a:chOff x="4113652" y="4091190"/>
          <a:chExt cx="124255" cy="515795"/>
        </a:xfrm>
      </xdr:grpSpPr>
      <xdr:grpSp>
        <xdr:nvGrpSpPr>
          <xdr:cNvPr id="729" name="Group 728"/>
          <xdr:cNvGrpSpPr/>
        </xdr:nvGrpSpPr>
        <xdr:grpSpPr>
          <a:xfrm rot="16200000">
            <a:off x="4041178" y="4292507"/>
            <a:ext cx="269203" cy="124255"/>
            <a:chOff x="5703094" y="3033714"/>
            <a:chExt cx="226219" cy="157167"/>
          </a:xfrm>
        </xdr:grpSpPr>
        <xdr:sp macro="" textlink="">
          <xdr:nvSpPr>
            <xdr:cNvPr id="735" name="Rectangle 734"/>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736" name="Straight Connector 735"/>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37" name="Straight Connector 736"/>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31" name="Pentagon 730"/>
          <xdr:cNvSpPr/>
        </xdr:nvSpPr>
        <xdr:spPr>
          <a:xfrm rot="16200000">
            <a:off x="4126397" y="4118480"/>
            <a:ext cx="100300" cy="4572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791" name="Pentagon 790"/>
          <xdr:cNvSpPr/>
        </xdr:nvSpPr>
        <xdr:spPr>
          <a:xfrm rot="5400000">
            <a:off x="4125609" y="4533975"/>
            <a:ext cx="100300" cy="4572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4</xdr:col>
      <xdr:colOff>449979</xdr:colOff>
      <xdr:row>26</xdr:row>
      <xdr:rowOff>123515</xdr:rowOff>
    </xdr:from>
    <xdr:to>
      <xdr:col>4</xdr:col>
      <xdr:colOff>574234</xdr:colOff>
      <xdr:row>29</xdr:row>
      <xdr:rowOff>149453</xdr:rowOff>
    </xdr:to>
    <xdr:grpSp>
      <xdr:nvGrpSpPr>
        <xdr:cNvPr id="793" name="Group 792"/>
        <xdr:cNvGrpSpPr/>
      </xdr:nvGrpSpPr>
      <xdr:grpSpPr>
        <a:xfrm>
          <a:off x="3069354" y="4419290"/>
          <a:ext cx="124255" cy="511713"/>
          <a:chOff x="4113652" y="4091190"/>
          <a:chExt cx="124255" cy="515795"/>
        </a:xfrm>
      </xdr:grpSpPr>
      <xdr:grpSp>
        <xdr:nvGrpSpPr>
          <xdr:cNvPr id="794" name="Group 793"/>
          <xdr:cNvGrpSpPr/>
        </xdr:nvGrpSpPr>
        <xdr:grpSpPr>
          <a:xfrm rot="16200000">
            <a:off x="4041178" y="4292507"/>
            <a:ext cx="269203" cy="124255"/>
            <a:chOff x="5703094" y="3033714"/>
            <a:chExt cx="226219" cy="157167"/>
          </a:xfrm>
        </xdr:grpSpPr>
        <xdr:sp macro="" textlink="">
          <xdr:nvSpPr>
            <xdr:cNvPr id="797" name="Rectangle 796"/>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798" name="Straight Connector 797"/>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99" name="Straight Connector 798"/>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95" name="Pentagon 794"/>
          <xdr:cNvSpPr/>
        </xdr:nvSpPr>
        <xdr:spPr>
          <a:xfrm rot="16200000">
            <a:off x="4126397" y="4118480"/>
            <a:ext cx="100300" cy="4572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796" name="Pentagon 795"/>
          <xdr:cNvSpPr/>
        </xdr:nvSpPr>
        <xdr:spPr>
          <a:xfrm rot="5400000">
            <a:off x="4125609" y="4533975"/>
            <a:ext cx="100300" cy="4572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5</xdr:col>
      <xdr:colOff>295798</xdr:colOff>
      <xdr:row>24</xdr:row>
      <xdr:rowOff>154356</xdr:rowOff>
    </xdr:from>
    <xdr:to>
      <xdr:col>6</xdr:col>
      <xdr:colOff>163522</xdr:colOff>
      <xdr:row>26</xdr:row>
      <xdr:rowOff>66829</xdr:rowOff>
    </xdr:to>
    <xdr:grpSp>
      <xdr:nvGrpSpPr>
        <xdr:cNvPr id="813" name="Group 812"/>
        <xdr:cNvGrpSpPr/>
      </xdr:nvGrpSpPr>
      <xdr:grpSpPr>
        <a:xfrm>
          <a:off x="3648598" y="4126281"/>
          <a:ext cx="458274" cy="236323"/>
          <a:chOff x="3635828" y="3843564"/>
          <a:chExt cx="460995" cy="236952"/>
        </a:xfrm>
      </xdr:grpSpPr>
      <xdr:grpSp>
        <xdr:nvGrpSpPr>
          <xdr:cNvPr id="633" name="Group 632"/>
          <xdr:cNvGrpSpPr/>
        </xdr:nvGrpSpPr>
        <xdr:grpSpPr>
          <a:xfrm>
            <a:off x="3713242" y="3961770"/>
            <a:ext cx="309291" cy="90333"/>
            <a:chOff x="4356988" y="4795137"/>
            <a:chExt cx="364191" cy="129848"/>
          </a:xfrm>
        </xdr:grpSpPr>
        <xdr:cxnSp macro="">
          <xdr:nvCxnSpPr>
            <xdr:cNvPr id="642" name="Straight Connector 641"/>
            <xdr:cNvCxnSpPr/>
          </xdr:nvCxnSpPr>
          <xdr:spPr>
            <a:xfrm rot="5400000">
              <a:off x="4508896" y="4843953"/>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643" name="Straight Connector 642"/>
            <xdr:cNvCxnSpPr/>
          </xdr:nvCxnSpPr>
          <xdr:spPr>
            <a:xfrm rot="10800000">
              <a:off x="4356988" y="4924985"/>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64" name="Pentagon 763"/>
          <xdr:cNvSpPr/>
        </xdr:nvSpPr>
        <xdr:spPr>
          <a:xfrm rot="16200000">
            <a:off x="3816350" y="3881664"/>
            <a:ext cx="12700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802" name="Group 801"/>
          <xdr:cNvGrpSpPr/>
        </xdr:nvGrpSpPr>
        <xdr:grpSpPr>
          <a:xfrm>
            <a:off x="3635828" y="4005943"/>
            <a:ext cx="69107" cy="74573"/>
            <a:chOff x="11549063" y="1904999"/>
            <a:chExt cx="214312" cy="198439"/>
          </a:xfrm>
        </xdr:grpSpPr>
        <xdr:cxnSp macro="">
          <xdr:nvCxnSpPr>
            <xdr:cNvPr id="803" name="Straight Connector 802"/>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04" name="Straight Connector 803"/>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05" name="Straight Connector 804"/>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809" name="Group 808"/>
          <xdr:cNvGrpSpPr/>
        </xdr:nvGrpSpPr>
        <xdr:grpSpPr>
          <a:xfrm rot="10800000">
            <a:off x="4027716" y="4005943"/>
            <a:ext cx="69107" cy="74573"/>
            <a:chOff x="11549063" y="1904999"/>
            <a:chExt cx="214312" cy="198439"/>
          </a:xfrm>
        </xdr:grpSpPr>
        <xdr:cxnSp macro="">
          <xdr:nvCxnSpPr>
            <xdr:cNvPr id="810" name="Straight Connector 809"/>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11" name="Straight Connector 810"/>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12" name="Straight Connector 811"/>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3</xdr:col>
      <xdr:colOff>409158</xdr:colOff>
      <xdr:row>25</xdr:row>
      <xdr:rowOff>119041</xdr:rowOff>
    </xdr:from>
    <xdr:to>
      <xdr:col>5</xdr:col>
      <xdr:colOff>539932</xdr:colOff>
      <xdr:row>27</xdr:row>
      <xdr:rowOff>88656</xdr:rowOff>
    </xdr:to>
    <xdr:cxnSp macro="">
      <xdr:nvCxnSpPr>
        <xdr:cNvPr id="814" name="Straight Arrow Connector 813"/>
        <xdr:cNvCxnSpPr>
          <a:stCxn id="790" idx="3"/>
          <a:endCxn id="764" idx="1"/>
        </xdr:cNvCxnSpPr>
      </xdr:nvCxnSpPr>
      <xdr:spPr>
        <a:xfrm flipV="1">
          <a:off x="2424062" y="4236772"/>
          <a:ext cx="1471601" cy="2919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504410</xdr:colOff>
      <xdr:row>22</xdr:row>
      <xdr:rowOff>4069</xdr:rowOff>
    </xdr:from>
    <xdr:to>
      <xdr:col>5</xdr:col>
      <xdr:colOff>550130</xdr:colOff>
      <xdr:row>23</xdr:row>
      <xdr:rowOff>30701</xdr:rowOff>
    </xdr:to>
    <xdr:grpSp>
      <xdr:nvGrpSpPr>
        <xdr:cNvPr id="834" name="Group 833"/>
        <xdr:cNvGrpSpPr/>
      </xdr:nvGrpSpPr>
      <xdr:grpSpPr>
        <a:xfrm rot="5400000">
          <a:off x="3785791" y="3723563"/>
          <a:ext cx="188557" cy="45720"/>
          <a:chOff x="16085133" y="3919106"/>
          <a:chExt cx="826072" cy="142008"/>
        </a:xfrm>
      </xdr:grpSpPr>
      <xdr:sp macro="" textlink="">
        <xdr:nvSpPr>
          <xdr:cNvPr id="835" name="Flowchart: Delay 834"/>
          <xdr:cNvSpPr/>
        </xdr:nvSpPr>
        <xdr:spPr>
          <a:xfrm>
            <a:off x="16495568" y="3922568"/>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36" name="Flowchart: Delay 835"/>
          <xdr:cNvSpPr/>
        </xdr:nvSpPr>
        <xdr:spPr>
          <a:xfrm rot="10800000">
            <a:off x="16085133" y="3919106"/>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4</xdr:col>
      <xdr:colOff>435378</xdr:colOff>
      <xdr:row>11</xdr:row>
      <xdr:rowOff>117230</xdr:rowOff>
    </xdr:from>
    <xdr:to>
      <xdr:col>5</xdr:col>
      <xdr:colOff>527828</xdr:colOff>
      <xdr:row>22</xdr:row>
      <xdr:rowOff>98572</xdr:rowOff>
    </xdr:to>
    <xdr:cxnSp macro="">
      <xdr:nvCxnSpPr>
        <xdr:cNvPr id="842" name="Straight Arrow Connector 841"/>
        <xdr:cNvCxnSpPr>
          <a:stCxn id="841" idx="2"/>
          <a:endCxn id="836" idx="1"/>
        </xdr:cNvCxnSpPr>
      </xdr:nvCxnSpPr>
      <xdr:spPr>
        <a:xfrm>
          <a:off x="3058416" y="1978268"/>
          <a:ext cx="825143" cy="175445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107534</xdr:colOff>
      <xdr:row>40</xdr:row>
      <xdr:rowOff>117713</xdr:rowOff>
    </xdr:from>
    <xdr:to>
      <xdr:col>10</xdr:col>
      <xdr:colOff>234879</xdr:colOff>
      <xdr:row>42</xdr:row>
      <xdr:rowOff>24285</xdr:rowOff>
    </xdr:to>
    <xdr:grpSp>
      <xdr:nvGrpSpPr>
        <xdr:cNvPr id="880" name="Group 879"/>
        <xdr:cNvGrpSpPr/>
      </xdr:nvGrpSpPr>
      <xdr:grpSpPr>
        <a:xfrm>
          <a:off x="7727534" y="6680438"/>
          <a:ext cx="127345" cy="230422"/>
          <a:chOff x="7764169" y="6653328"/>
          <a:chExt cx="127345" cy="228957"/>
        </a:xfrm>
      </xdr:grpSpPr>
      <xdr:grpSp>
        <xdr:nvGrpSpPr>
          <xdr:cNvPr id="850" name="Group 849"/>
          <xdr:cNvGrpSpPr/>
        </xdr:nvGrpSpPr>
        <xdr:grpSpPr>
          <a:xfrm rot="10800000">
            <a:off x="7784176" y="6755284"/>
            <a:ext cx="107338" cy="127001"/>
            <a:chOff x="11549063" y="1904999"/>
            <a:chExt cx="214312" cy="198439"/>
          </a:xfrm>
        </xdr:grpSpPr>
        <xdr:cxnSp macro="">
          <xdr:nvCxnSpPr>
            <xdr:cNvPr id="855" name="Straight Connector 85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56" name="Straight Connector 85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57" name="Straight Connector 85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851" name="Group 850"/>
          <xdr:cNvGrpSpPr/>
        </xdr:nvGrpSpPr>
        <xdr:grpSpPr>
          <a:xfrm rot="5400000">
            <a:off x="7774001" y="6643496"/>
            <a:ext cx="107338" cy="127001"/>
            <a:chOff x="11549063" y="1904999"/>
            <a:chExt cx="214312" cy="198439"/>
          </a:xfrm>
        </xdr:grpSpPr>
        <xdr:cxnSp macro="">
          <xdr:nvCxnSpPr>
            <xdr:cNvPr id="852" name="Straight Connector 851"/>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53" name="Straight Connector 852"/>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54" name="Straight Connector 853"/>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391990</xdr:colOff>
      <xdr:row>36</xdr:row>
      <xdr:rowOff>123187</xdr:rowOff>
    </xdr:from>
    <xdr:to>
      <xdr:col>13</xdr:col>
      <xdr:colOff>83343</xdr:colOff>
      <xdr:row>39</xdr:row>
      <xdr:rowOff>108531</xdr:rowOff>
    </xdr:to>
    <xdr:sp macro="" textlink="">
      <xdr:nvSpPr>
        <xdr:cNvPr id="859" name="TextBox 858"/>
        <xdr:cNvSpPr txBox="1"/>
      </xdr:nvSpPr>
      <xdr:spPr>
        <a:xfrm>
          <a:off x="8000084" y="5998921"/>
          <a:ext cx="1977353" cy="4675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1/8" F/F</a:t>
          </a:r>
          <a:r>
            <a:rPr lang="en-US" baseline="0"/>
            <a:t> NPT 90</a:t>
          </a:r>
          <a:r>
            <a:rPr lang="en-US" baseline="30000"/>
            <a:t>o</a:t>
          </a:r>
          <a:r>
            <a:rPr lang="en-US" baseline="0"/>
            <a:t> Brass Coupling 50785K35</a:t>
          </a:r>
          <a:endParaRPr lang="en-US"/>
        </a:p>
      </xdr:txBody>
    </xdr:sp>
    <xdr:clientData/>
  </xdr:twoCellAnchor>
  <xdr:twoCellAnchor>
    <xdr:from>
      <xdr:col>10</xdr:col>
      <xdr:colOff>189703</xdr:colOff>
      <xdr:row>39</xdr:row>
      <xdr:rowOff>108531</xdr:rowOff>
    </xdr:from>
    <xdr:to>
      <xdr:col>11</xdr:col>
      <xdr:colOff>541277</xdr:colOff>
      <xdr:row>41</xdr:row>
      <xdr:rowOff>123923</xdr:rowOff>
    </xdr:to>
    <xdr:cxnSp macro="">
      <xdr:nvCxnSpPr>
        <xdr:cNvPr id="860" name="Straight Arrow Connector 859"/>
        <xdr:cNvCxnSpPr>
          <a:stCxn id="859" idx="2"/>
          <a:endCxn id="116" idx="3"/>
        </xdr:cNvCxnSpPr>
      </xdr:nvCxnSpPr>
      <xdr:spPr>
        <a:xfrm flipH="1">
          <a:off x="7797797" y="6466469"/>
          <a:ext cx="1190964" cy="3368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168519</xdr:colOff>
      <xdr:row>38</xdr:row>
      <xdr:rowOff>20581</xdr:rowOff>
    </xdr:from>
    <xdr:to>
      <xdr:col>10</xdr:col>
      <xdr:colOff>171949</xdr:colOff>
      <xdr:row>38</xdr:row>
      <xdr:rowOff>157741</xdr:rowOff>
    </xdr:to>
    <xdr:cxnSp macro="">
      <xdr:nvCxnSpPr>
        <xdr:cNvPr id="881" name="Straight Connector 880"/>
        <xdr:cNvCxnSpPr/>
      </xdr:nvCxnSpPr>
      <xdr:spPr>
        <a:xfrm flipV="1">
          <a:off x="7791450" y="6233812"/>
          <a:ext cx="3430" cy="13716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1225331</xdr:colOff>
      <xdr:row>65</xdr:row>
      <xdr:rowOff>89214</xdr:rowOff>
    </xdr:from>
    <xdr:to>
      <xdr:col>9</xdr:col>
      <xdr:colOff>1350358</xdr:colOff>
      <xdr:row>65</xdr:row>
      <xdr:rowOff>140014</xdr:rowOff>
    </xdr:to>
    <xdr:sp macro="" textlink="">
      <xdr:nvSpPr>
        <xdr:cNvPr id="882" name="Pentagon 881"/>
        <xdr:cNvSpPr/>
      </xdr:nvSpPr>
      <xdr:spPr>
        <a:xfrm>
          <a:off x="7317278" y="10712629"/>
          <a:ext cx="125027"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494995</xdr:colOff>
      <xdr:row>34</xdr:row>
      <xdr:rowOff>45425</xdr:rowOff>
    </xdr:from>
    <xdr:to>
      <xdr:col>4</xdr:col>
      <xdr:colOff>545795</xdr:colOff>
      <xdr:row>35</xdr:row>
      <xdr:rowOff>6592</xdr:rowOff>
    </xdr:to>
    <xdr:sp macro="" textlink="">
      <xdr:nvSpPr>
        <xdr:cNvPr id="883" name="Pentagon 882"/>
        <xdr:cNvSpPr/>
      </xdr:nvSpPr>
      <xdr:spPr>
        <a:xfrm rot="16200000">
          <a:off x="3078224" y="5672746"/>
          <a:ext cx="123092"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477076</xdr:colOff>
      <xdr:row>65</xdr:row>
      <xdr:rowOff>120503</xdr:rowOff>
    </xdr:from>
    <xdr:to>
      <xdr:col>9</xdr:col>
      <xdr:colOff>1224979</xdr:colOff>
      <xdr:row>65</xdr:row>
      <xdr:rowOff>120503</xdr:rowOff>
    </xdr:to>
    <xdr:cxnSp macro="">
      <xdr:nvCxnSpPr>
        <xdr:cNvPr id="884" name="Straight Connector 883"/>
        <xdr:cNvCxnSpPr/>
      </xdr:nvCxnSpPr>
      <xdr:spPr>
        <a:xfrm flipH="1">
          <a:off x="3096451" y="10731353"/>
          <a:ext cx="4224528"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516765</xdr:colOff>
      <xdr:row>35</xdr:row>
      <xdr:rowOff>14918</xdr:rowOff>
    </xdr:from>
    <xdr:to>
      <xdr:col>4</xdr:col>
      <xdr:colOff>521444</xdr:colOff>
      <xdr:row>65</xdr:row>
      <xdr:rowOff>122360</xdr:rowOff>
    </xdr:to>
    <xdr:cxnSp macro="">
      <xdr:nvCxnSpPr>
        <xdr:cNvPr id="888" name="Straight Connector 887"/>
        <xdr:cNvCxnSpPr/>
      </xdr:nvCxnSpPr>
      <xdr:spPr>
        <a:xfrm flipV="1">
          <a:off x="3136140" y="5768018"/>
          <a:ext cx="4679" cy="4965192"/>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1249722</xdr:colOff>
      <xdr:row>65</xdr:row>
      <xdr:rowOff>59460</xdr:rowOff>
    </xdr:from>
    <xdr:to>
      <xdr:col>10</xdr:col>
      <xdr:colOff>81897</xdr:colOff>
      <xdr:row>66</xdr:row>
      <xdr:rowOff>12993</xdr:rowOff>
    </xdr:to>
    <xdr:grpSp>
      <xdr:nvGrpSpPr>
        <xdr:cNvPr id="890" name="Group 889"/>
        <xdr:cNvGrpSpPr/>
      </xdr:nvGrpSpPr>
      <xdr:grpSpPr>
        <a:xfrm rot="5400000">
          <a:off x="7466081" y="10549951"/>
          <a:ext cx="115458" cy="356175"/>
          <a:chOff x="12368892" y="4279450"/>
          <a:chExt cx="115661" cy="442228"/>
        </a:xfrm>
      </xdr:grpSpPr>
      <xdr:sp macro="" textlink="">
        <xdr:nvSpPr>
          <xdr:cNvPr id="891" name="Up Arrow 890"/>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2" name="Down Arrow 891"/>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93" name="Group 892"/>
          <xdr:cNvGrpSpPr/>
        </xdr:nvGrpSpPr>
        <xdr:grpSpPr>
          <a:xfrm rot="16200000">
            <a:off x="12341678" y="4578803"/>
            <a:ext cx="170089" cy="115661"/>
            <a:chOff x="11549063" y="1904999"/>
            <a:chExt cx="214312" cy="198439"/>
          </a:xfrm>
        </xdr:grpSpPr>
        <xdr:cxnSp macro="">
          <xdr:nvCxnSpPr>
            <xdr:cNvPr id="894" name="Straight Connector 893"/>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95" name="Straight Connector 894"/>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96" name="Straight Connector 895"/>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9</xdr:col>
      <xdr:colOff>1225331</xdr:colOff>
      <xdr:row>36</xdr:row>
      <xdr:rowOff>9357</xdr:rowOff>
    </xdr:from>
    <xdr:to>
      <xdr:col>13</xdr:col>
      <xdr:colOff>254113</xdr:colOff>
      <xdr:row>65</xdr:row>
      <xdr:rowOff>114614</xdr:rowOff>
    </xdr:to>
    <xdr:cxnSp macro="">
      <xdr:nvCxnSpPr>
        <xdr:cNvPr id="897" name="Straight Arrow Connector 896"/>
        <xdr:cNvCxnSpPr>
          <a:stCxn id="89" idx="2"/>
          <a:endCxn id="882" idx="1"/>
        </xdr:cNvCxnSpPr>
      </xdr:nvCxnSpPr>
      <xdr:spPr>
        <a:xfrm flipH="1">
          <a:off x="7309425" y="5885091"/>
          <a:ext cx="2838782" cy="47665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28851</xdr:colOff>
      <xdr:row>27</xdr:row>
      <xdr:rowOff>22897</xdr:rowOff>
    </xdr:from>
    <xdr:to>
      <xdr:col>20</xdr:col>
      <xdr:colOff>74571</xdr:colOff>
      <xdr:row>28</xdr:row>
      <xdr:rowOff>49986</xdr:rowOff>
    </xdr:to>
    <xdr:grpSp>
      <xdr:nvGrpSpPr>
        <xdr:cNvPr id="912" name="Group 911"/>
        <xdr:cNvGrpSpPr/>
      </xdr:nvGrpSpPr>
      <xdr:grpSpPr>
        <a:xfrm rot="5400000">
          <a:off x="14130404" y="4552244"/>
          <a:ext cx="189014" cy="45720"/>
          <a:chOff x="16085133" y="3919106"/>
          <a:chExt cx="826072" cy="142008"/>
        </a:xfrm>
      </xdr:grpSpPr>
      <xdr:sp macro="" textlink="">
        <xdr:nvSpPr>
          <xdr:cNvPr id="913" name="Flowchart: Delay 912"/>
          <xdr:cNvSpPr/>
        </xdr:nvSpPr>
        <xdr:spPr>
          <a:xfrm>
            <a:off x="16495568" y="3922568"/>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14" name="Flowchart: Delay 913"/>
          <xdr:cNvSpPr/>
        </xdr:nvSpPr>
        <xdr:spPr>
          <a:xfrm rot="10800000">
            <a:off x="16085133" y="3919106"/>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23</xdr:col>
      <xdr:colOff>374325</xdr:colOff>
      <xdr:row>28</xdr:row>
      <xdr:rowOff>59989</xdr:rowOff>
    </xdr:from>
    <xdr:to>
      <xdr:col>27</xdr:col>
      <xdr:colOff>561424</xdr:colOff>
      <xdr:row>31</xdr:row>
      <xdr:rowOff>54036</xdr:rowOff>
    </xdr:to>
    <xdr:sp macro="" textlink="">
      <xdr:nvSpPr>
        <xdr:cNvPr id="915" name="TextBox 914"/>
        <xdr:cNvSpPr txBox="1"/>
      </xdr:nvSpPr>
      <xdr:spPr>
        <a:xfrm>
          <a:off x="16361671" y="4661297"/>
          <a:ext cx="2619638" cy="477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1/4" M/M</a:t>
          </a:r>
          <a:r>
            <a:rPr lang="en-US" sz="1100" baseline="0">
              <a:solidFill>
                <a:schemeClr val="dk1"/>
              </a:solidFill>
              <a:latin typeface="+mn-lt"/>
              <a:ea typeface="+mn-ea"/>
              <a:cs typeface="+mn-cs"/>
            </a:rPr>
            <a:t> Brass Nipple. 1000psi @ 72F 5485K22</a:t>
          </a:r>
          <a:endParaRPr lang="en-US"/>
        </a:p>
      </xdr:txBody>
    </xdr:sp>
    <xdr:clientData/>
  </xdr:twoCellAnchor>
  <xdr:twoCellAnchor>
    <xdr:from>
      <xdr:col>20</xdr:col>
      <xdr:colOff>52269</xdr:colOff>
      <xdr:row>27</xdr:row>
      <xdr:rowOff>117631</xdr:rowOff>
    </xdr:from>
    <xdr:to>
      <xdr:col>23</xdr:col>
      <xdr:colOff>374325</xdr:colOff>
      <xdr:row>29</xdr:row>
      <xdr:rowOff>137609</xdr:rowOff>
    </xdr:to>
    <xdr:cxnSp macro="">
      <xdr:nvCxnSpPr>
        <xdr:cNvPr id="916" name="Straight Arrow Connector 915"/>
        <xdr:cNvCxnSpPr>
          <a:stCxn id="915" idx="1"/>
          <a:endCxn id="914" idx="1"/>
        </xdr:cNvCxnSpPr>
      </xdr:nvCxnSpPr>
      <xdr:spPr>
        <a:xfrm flipH="1" flipV="1">
          <a:off x="14215211" y="4557746"/>
          <a:ext cx="2146460" cy="3423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48086</xdr:colOff>
      <xdr:row>33</xdr:row>
      <xdr:rowOff>62279</xdr:rowOff>
    </xdr:from>
    <xdr:to>
      <xdr:col>20</xdr:col>
      <xdr:colOff>105709</xdr:colOff>
      <xdr:row>34</xdr:row>
      <xdr:rowOff>158970</xdr:rowOff>
    </xdr:to>
    <xdr:grpSp>
      <xdr:nvGrpSpPr>
        <xdr:cNvPr id="928" name="Group 927"/>
        <xdr:cNvGrpSpPr/>
      </xdr:nvGrpSpPr>
      <xdr:grpSpPr>
        <a:xfrm>
          <a:off x="14221286" y="5491529"/>
          <a:ext cx="57623" cy="258616"/>
          <a:chOff x="14507769" y="5601890"/>
          <a:chExt cx="57623" cy="257426"/>
        </a:xfrm>
      </xdr:grpSpPr>
      <xdr:sp macro="" textlink="">
        <xdr:nvSpPr>
          <xdr:cNvPr id="909" name="Pentagon 908"/>
          <xdr:cNvSpPr/>
        </xdr:nvSpPr>
        <xdr:spPr>
          <a:xfrm rot="16200000">
            <a:off x="14471852" y="5637807"/>
            <a:ext cx="122633"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924" name="Group 923"/>
          <xdr:cNvGrpSpPr/>
        </xdr:nvGrpSpPr>
        <xdr:grpSpPr>
          <a:xfrm rot="16200000">
            <a:off x="14485257" y="5779181"/>
            <a:ext cx="114550" cy="45720"/>
            <a:chOff x="11549063" y="1904999"/>
            <a:chExt cx="214312" cy="198439"/>
          </a:xfrm>
        </xdr:grpSpPr>
        <xdr:cxnSp macro="">
          <xdr:nvCxnSpPr>
            <xdr:cNvPr id="925" name="Straight Connector 92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26" name="Straight Connector 92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27" name="Straight Connector 92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61363</xdr:colOff>
      <xdr:row>34</xdr:row>
      <xdr:rowOff>107156</xdr:rowOff>
    </xdr:from>
    <xdr:to>
      <xdr:col>20</xdr:col>
      <xdr:colOff>112163</xdr:colOff>
      <xdr:row>35</xdr:row>
      <xdr:rowOff>70056</xdr:rowOff>
    </xdr:to>
    <xdr:sp macro="" textlink="">
      <xdr:nvSpPr>
        <xdr:cNvPr id="934" name="Pentagon 933"/>
        <xdr:cNvSpPr/>
      </xdr:nvSpPr>
      <xdr:spPr>
        <a:xfrm rot="16200000">
          <a:off x="14187659" y="5712264"/>
          <a:ext cx="124092"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136921</xdr:colOff>
      <xdr:row>38</xdr:row>
      <xdr:rowOff>53577</xdr:rowOff>
    </xdr:from>
    <xdr:to>
      <xdr:col>20</xdr:col>
      <xdr:colOff>113651</xdr:colOff>
      <xdr:row>38</xdr:row>
      <xdr:rowOff>53577</xdr:rowOff>
    </xdr:to>
    <xdr:cxnSp macro="">
      <xdr:nvCxnSpPr>
        <xdr:cNvPr id="935" name="Straight Connector 934"/>
        <xdr:cNvCxnSpPr/>
      </xdr:nvCxnSpPr>
      <xdr:spPr>
        <a:xfrm flipH="1">
          <a:off x="10042921" y="6266808"/>
          <a:ext cx="4233672" cy="0"/>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166688</xdr:colOff>
      <xdr:row>38</xdr:row>
      <xdr:rowOff>77390</xdr:rowOff>
    </xdr:from>
    <xdr:to>
      <xdr:col>13</xdr:col>
      <xdr:colOff>170118</xdr:colOff>
      <xdr:row>39</xdr:row>
      <xdr:rowOff>8095</xdr:rowOff>
    </xdr:to>
    <xdr:cxnSp macro="">
      <xdr:nvCxnSpPr>
        <xdr:cNvPr id="936" name="Straight Connector 935"/>
        <xdr:cNvCxnSpPr/>
      </xdr:nvCxnSpPr>
      <xdr:spPr>
        <a:xfrm flipV="1">
          <a:off x="10060782" y="6274593"/>
          <a:ext cx="3430" cy="91440"/>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107156</xdr:colOff>
      <xdr:row>38</xdr:row>
      <xdr:rowOff>146894</xdr:rowOff>
    </xdr:from>
    <xdr:to>
      <xdr:col>13</xdr:col>
      <xdr:colOff>222817</xdr:colOff>
      <xdr:row>41</xdr:row>
      <xdr:rowOff>18079</xdr:rowOff>
    </xdr:to>
    <xdr:grpSp>
      <xdr:nvGrpSpPr>
        <xdr:cNvPr id="937" name="Group 936"/>
        <xdr:cNvGrpSpPr/>
      </xdr:nvGrpSpPr>
      <xdr:grpSpPr>
        <a:xfrm rot="10800000">
          <a:off x="10013156" y="6385769"/>
          <a:ext cx="115661" cy="356960"/>
          <a:chOff x="12368892" y="4279450"/>
          <a:chExt cx="115661" cy="442228"/>
        </a:xfrm>
      </xdr:grpSpPr>
      <xdr:sp macro="" textlink="">
        <xdr:nvSpPr>
          <xdr:cNvPr id="938" name="Up Arrow 937"/>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9" name="Down Arrow 938"/>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40" name="Group 939"/>
          <xdr:cNvGrpSpPr/>
        </xdr:nvGrpSpPr>
        <xdr:grpSpPr>
          <a:xfrm rot="16200000">
            <a:off x="12341678" y="4578803"/>
            <a:ext cx="170089" cy="115661"/>
            <a:chOff x="11549063" y="1904999"/>
            <a:chExt cx="214312" cy="198439"/>
          </a:xfrm>
        </xdr:grpSpPr>
        <xdr:cxnSp macro="">
          <xdr:nvCxnSpPr>
            <xdr:cNvPr id="941" name="Straight Connector 940"/>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42" name="Straight Connector 941"/>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43" name="Straight Connector 942"/>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13</xdr:col>
      <xdr:colOff>143789</xdr:colOff>
      <xdr:row>38</xdr:row>
      <xdr:rowOff>119066</xdr:rowOff>
    </xdr:from>
    <xdr:to>
      <xdr:col>13</xdr:col>
      <xdr:colOff>194589</xdr:colOff>
      <xdr:row>39</xdr:row>
      <xdr:rowOff>81965</xdr:rowOff>
    </xdr:to>
    <xdr:sp macro="" textlink="">
      <xdr:nvSpPr>
        <xdr:cNvPr id="944" name="Pentagon 943"/>
        <xdr:cNvSpPr/>
      </xdr:nvSpPr>
      <xdr:spPr>
        <a:xfrm rot="5400000">
          <a:off x="10001466" y="6352686"/>
          <a:ext cx="123634"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97397</xdr:colOff>
      <xdr:row>40</xdr:row>
      <xdr:rowOff>142876</xdr:rowOff>
    </xdr:from>
    <xdr:to>
      <xdr:col>13</xdr:col>
      <xdr:colOff>228204</xdr:colOff>
      <xdr:row>42</xdr:row>
      <xdr:rowOff>31590</xdr:rowOff>
    </xdr:to>
    <xdr:grpSp>
      <xdr:nvGrpSpPr>
        <xdr:cNvPr id="962" name="Group 961"/>
        <xdr:cNvGrpSpPr/>
      </xdr:nvGrpSpPr>
      <xdr:grpSpPr>
        <a:xfrm>
          <a:off x="10003397" y="6705601"/>
          <a:ext cx="130807" cy="212564"/>
          <a:chOff x="9991491" y="6768702"/>
          <a:chExt cx="130807" cy="210183"/>
        </a:xfrm>
      </xdr:grpSpPr>
      <xdr:grpSp>
        <xdr:nvGrpSpPr>
          <xdr:cNvPr id="946" name="Group 945"/>
          <xdr:cNvGrpSpPr/>
        </xdr:nvGrpSpPr>
        <xdr:grpSpPr>
          <a:xfrm>
            <a:off x="9991491" y="6852392"/>
            <a:ext cx="107338" cy="126493"/>
            <a:chOff x="11549063" y="1904999"/>
            <a:chExt cx="214312" cy="198439"/>
          </a:xfrm>
        </xdr:grpSpPr>
        <xdr:cxnSp macro="">
          <xdr:nvCxnSpPr>
            <xdr:cNvPr id="951" name="Straight Connector 950"/>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52" name="Straight Connector 951"/>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53" name="Straight Connector 952"/>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947" name="Group 946"/>
          <xdr:cNvGrpSpPr/>
        </xdr:nvGrpSpPr>
        <xdr:grpSpPr>
          <a:xfrm rot="5400000">
            <a:off x="10005343" y="6758656"/>
            <a:ext cx="106909" cy="127001"/>
            <a:chOff x="11549063" y="1904999"/>
            <a:chExt cx="214312" cy="198439"/>
          </a:xfrm>
        </xdr:grpSpPr>
        <xdr:cxnSp macro="">
          <xdr:nvCxnSpPr>
            <xdr:cNvPr id="948" name="Straight Connector 947"/>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49" name="Straight Connector 948"/>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950" name="Straight Connector 949"/>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11</xdr:col>
      <xdr:colOff>541277</xdr:colOff>
      <xdr:row>39</xdr:row>
      <xdr:rowOff>108531</xdr:rowOff>
    </xdr:from>
    <xdr:to>
      <xdr:col>13</xdr:col>
      <xdr:colOff>164030</xdr:colOff>
      <xdr:row>41</xdr:row>
      <xdr:rowOff>18079</xdr:rowOff>
    </xdr:to>
    <xdr:cxnSp macro="">
      <xdr:nvCxnSpPr>
        <xdr:cNvPr id="958" name="Straight Arrow Connector 957"/>
        <xdr:cNvCxnSpPr>
          <a:stCxn id="859" idx="2"/>
          <a:endCxn id="939" idx="0"/>
        </xdr:cNvCxnSpPr>
      </xdr:nvCxnSpPr>
      <xdr:spPr>
        <a:xfrm>
          <a:off x="8988761" y="6466469"/>
          <a:ext cx="1069363" cy="23101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500063</xdr:colOff>
      <xdr:row>41</xdr:row>
      <xdr:rowOff>89300</xdr:rowOff>
    </xdr:from>
    <xdr:to>
      <xdr:col>13</xdr:col>
      <xdr:colOff>146684</xdr:colOff>
      <xdr:row>42</xdr:row>
      <xdr:rowOff>1388</xdr:rowOff>
    </xdr:to>
    <xdr:grpSp>
      <xdr:nvGrpSpPr>
        <xdr:cNvPr id="963" name="Group 962"/>
        <xdr:cNvGrpSpPr/>
      </xdr:nvGrpSpPr>
      <xdr:grpSpPr>
        <a:xfrm rot="5400000">
          <a:off x="9773267" y="6608546"/>
          <a:ext cx="74013" cy="484821"/>
          <a:chOff x="8939493" y="6687051"/>
          <a:chExt cx="72823" cy="486012"/>
        </a:xfrm>
      </xdr:grpSpPr>
      <xdr:sp macro="" textlink="">
        <xdr:nvSpPr>
          <xdr:cNvPr id="964" name="Pentagon 963"/>
          <xdr:cNvSpPr/>
        </xdr:nvSpPr>
        <xdr:spPr>
          <a:xfrm rot="16200000">
            <a:off x="8894315" y="6737444"/>
            <a:ext cx="16202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65" name="Isosceles Triangle 964"/>
          <xdr:cNvSpPr/>
        </xdr:nvSpPr>
        <xdr:spPr>
          <a:xfrm rot="10800000">
            <a:off x="8939493" y="6860360"/>
            <a:ext cx="72823" cy="312703"/>
          </a:xfrm>
          <a:prstGeom prst="triangle">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20</xdr:col>
      <xdr:colOff>79222</xdr:colOff>
      <xdr:row>35</xdr:row>
      <xdr:rowOff>77390</xdr:rowOff>
    </xdr:from>
    <xdr:to>
      <xdr:col>20</xdr:col>
      <xdr:colOff>82652</xdr:colOff>
      <xdr:row>38</xdr:row>
      <xdr:rowOff>51013</xdr:rowOff>
    </xdr:to>
    <xdr:cxnSp macro="">
      <xdr:nvCxnSpPr>
        <xdr:cNvPr id="969" name="Straight Connector 968"/>
        <xdr:cNvCxnSpPr/>
      </xdr:nvCxnSpPr>
      <xdr:spPr>
        <a:xfrm flipV="1">
          <a:off x="14242164" y="5807044"/>
          <a:ext cx="3430" cy="457200"/>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483119</xdr:colOff>
      <xdr:row>43</xdr:row>
      <xdr:rowOff>130511</xdr:rowOff>
    </xdr:from>
    <xdr:to>
      <xdr:col>27</xdr:col>
      <xdr:colOff>523324</xdr:colOff>
      <xdr:row>46</xdr:row>
      <xdr:rowOff>100288</xdr:rowOff>
    </xdr:to>
    <xdr:sp macro="" textlink="">
      <xdr:nvSpPr>
        <xdr:cNvPr id="971" name="TextBox 970"/>
        <xdr:cNvSpPr txBox="1"/>
      </xdr:nvSpPr>
      <xdr:spPr>
        <a:xfrm>
          <a:off x="16470465" y="7149703"/>
          <a:ext cx="2472744" cy="453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1/8"</a:t>
          </a:r>
          <a:r>
            <a:rPr lang="en-US" sz="1100" baseline="0"/>
            <a:t> TBD GOX compatible stainless steel tubing. TBD</a:t>
          </a:r>
          <a:endParaRPr lang="en-US" sz="1100"/>
        </a:p>
      </xdr:txBody>
    </xdr:sp>
    <xdr:clientData/>
  </xdr:twoCellAnchor>
  <xdr:twoCellAnchor>
    <xdr:from>
      <xdr:col>20</xdr:col>
      <xdr:colOff>307731</xdr:colOff>
      <xdr:row>21</xdr:row>
      <xdr:rowOff>14653</xdr:rowOff>
    </xdr:from>
    <xdr:to>
      <xdr:col>20</xdr:col>
      <xdr:colOff>423392</xdr:colOff>
      <xdr:row>23</xdr:row>
      <xdr:rowOff>47031</xdr:rowOff>
    </xdr:to>
    <xdr:grpSp>
      <xdr:nvGrpSpPr>
        <xdr:cNvPr id="985" name="Group 984"/>
        <xdr:cNvGrpSpPr/>
      </xdr:nvGrpSpPr>
      <xdr:grpSpPr>
        <a:xfrm rot="10800000">
          <a:off x="14480931" y="3500803"/>
          <a:ext cx="115661" cy="356228"/>
          <a:chOff x="12368892" y="4279450"/>
          <a:chExt cx="115661" cy="442228"/>
        </a:xfrm>
      </xdr:grpSpPr>
      <xdr:sp macro="" textlink="">
        <xdr:nvSpPr>
          <xdr:cNvPr id="986" name="Up Arrow 985"/>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87" name="Down Arrow 986"/>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88" name="Group 987"/>
          <xdr:cNvGrpSpPr/>
        </xdr:nvGrpSpPr>
        <xdr:grpSpPr>
          <a:xfrm rot="16200000">
            <a:off x="12341678" y="4578803"/>
            <a:ext cx="170089" cy="115661"/>
            <a:chOff x="11549063" y="1904999"/>
            <a:chExt cx="214312" cy="198439"/>
          </a:xfrm>
        </xdr:grpSpPr>
        <xdr:cxnSp macro="">
          <xdr:nvCxnSpPr>
            <xdr:cNvPr id="989" name="Straight Connector 988"/>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90" name="Straight Connector 989"/>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91" name="Straight Connector 990"/>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153865</xdr:colOff>
      <xdr:row>16</xdr:row>
      <xdr:rowOff>109904</xdr:rowOff>
    </xdr:from>
    <xdr:to>
      <xdr:col>26</xdr:col>
      <xdr:colOff>340965</xdr:colOff>
      <xdr:row>19</xdr:row>
      <xdr:rowOff>6963</xdr:rowOff>
    </xdr:to>
    <xdr:sp macro="" textlink="">
      <xdr:nvSpPr>
        <xdr:cNvPr id="993" name="TextBox 992"/>
        <xdr:cNvSpPr txBox="1"/>
      </xdr:nvSpPr>
      <xdr:spPr>
        <a:xfrm>
          <a:off x="15533077" y="2776904"/>
          <a:ext cx="2619638" cy="380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1/4" NPT</a:t>
          </a:r>
          <a:r>
            <a:rPr lang="en-US" sz="1100" baseline="0">
              <a:solidFill>
                <a:schemeClr val="dk1"/>
              </a:solidFill>
              <a:latin typeface="+mn-lt"/>
              <a:ea typeface="+mn-ea"/>
              <a:cs typeface="+mn-cs"/>
            </a:rPr>
            <a:t> GOX Compatible Quick Connect</a:t>
          </a:r>
          <a:endParaRPr lang="en-US"/>
        </a:p>
      </xdr:txBody>
    </xdr:sp>
    <xdr:clientData/>
  </xdr:twoCellAnchor>
  <xdr:twoCellAnchor>
    <xdr:from>
      <xdr:col>20</xdr:col>
      <xdr:colOff>343654</xdr:colOff>
      <xdr:row>17</xdr:row>
      <xdr:rowOff>139030</xdr:rowOff>
    </xdr:from>
    <xdr:to>
      <xdr:col>22</xdr:col>
      <xdr:colOff>153865</xdr:colOff>
      <xdr:row>22</xdr:row>
      <xdr:rowOff>38002</xdr:rowOff>
    </xdr:to>
    <xdr:cxnSp macro="">
      <xdr:nvCxnSpPr>
        <xdr:cNvPr id="996" name="Straight Arrow Connector 995"/>
        <xdr:cNvCxnSpPr>
          <a:stCxn id="993" idx="1"/>
          <a:endCxn id="986" idx="3"/>
        </xdr:cNvCxnSpPr>
      </xdr:nvCxnSpPr>
      <xdr:spPr>
        <a:xfrm flipH="1">
          <a:off x="14506596" y="2967222"/>
          <a:ext cx="1026481" cy="7049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202007</xdr:colOff>
      <xdr:row>23</xdr:row>
      <xdr:rowOff>73199</xdr:rowOff>
    </xdr:from>
    <xdr:to>
      <xdr:col>20</xdr:col>
      <xdr:colOff>511439</xdr:colOff>
      <xdr:row>24</xdr:row>
      <xdr:rowOff>1542</xdr:rowOff>
    </xdr:to>
    <xdr:grpSp>
      <xdr:nvGrpSpPr>
        <xdr:cNvPr id="973" name="Group 972"/>
        <xdr:cNvGrpSpPr/>
      </xdr:nvGrpSpPr>
      <xdr:grpSpPr>
        <a:xfrm>
          <a:off x="14375207" y="3883199"/>
          <a:ext cx="309432" cy="90268"/>
          <a:chOff x="4356988" y="4795137"/>
          <a:chExt cx="364191" cy="129848"/>
        </a:xfrm>
      </xdr:grpSpPr>
      <xdr:cxnSp macro="">
        <xdr:nvCxnSpPr>
          <xdr:cNvPr id="983" name="Straight Connector 982"/>
          <xdr:cNvCxnSpPr/>
        </xdr:nvCxnSpPr>
        <xdr:spPr>
          <a:xfrm rot="5400000">
            <a:off x="4508896" y="4843953"/>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984" name="Straight Connector 983"/>
          <xdr:cNvCxnSpPr/>
        </xdr:nvCxnSpPr>
        <xdr:spPr>
          <a:xfrm rot="10800000">
            <a:off x="4356988" y="4924985"/>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334651</xdr:colOff>
      <xdr:row>23</xdr:row>
      <xdr:rowOff>2387</xdr:rowOff>
    </xdr:from>
    <xdr:to>
      <xdr:col>20</xdr:col>
      <xdr:colOff>408565</xdr:colOff>
      <xdr:row>23</xdr:row>
      <xdr:rowOff>71525</xdr:rowOff>
    </xdr:to>
    <xdr:grpSp>
      <xdr:nvGrpSpPr>
        <xdr:cNvPr id="999" name="Group 998"/>
        <xdr:cNvGrpSpPr/>
      </xdr:nvGrpSpPr>
      <xdr:grpSpPr>
        <a:xfrm rot="5400000">
          <a:off x="14510239" y="3809999"/>
          <a:ext cx="69138" cy="73914"/>
          <a:chOff x="11549063" y="1904999"/>
          <a:chExt cx="214312" cy="198439"/>
        </a:xfrm>
      </xdr:grpSpPr>
      <xdr:cxnSp macro="">
        <xdr:nvCxnSpPr>
          <xdr:cNvPr id="1000" name="Straight Connector 999"/>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01" name="Straight Connector 1000"/>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02" name="Straight Connector 1001"/>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556852</xdr:colOff>
      <xdr:row>23</xdr:row>
      <xdr:rowOff>139211</xdr:rowOff>
    </xdr:from>
    <xdr:to>
      <xdr:col>21</xdr:col>
      <xdr:colOff>82067</xdr:colOff>
      <xdr:row>24</xdr:row>
      <xdr:rowOff>28819</xdr:rowOff>
    </xdr:to>
    <xdr:sp macro="" textlink="">
      <xdr:nvSpPr>
        <xdr:cNvPr id="1004" name="Pentagon 1003"/>
        <xdr:cNvSpPr/>
      </xdr:nvSpPr>
      <xdr:spPr>
        <a:xfrm rot="10800000">
          <a:off x="14719794" y="3934557"/>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22</xdr:col>
      <xdr:colOff>146538</xdr:colOff>
      <xdr:row>19</xdr:row>
      <xdr:rowOff>51286</xdr:rowOff>
    </xdr:from>
    <xdr:to>
      <xdr:col>26</xdr:col>
      <xdr:colOff>333638</xdr:colOff>
      <xdr:row>22</xdr:row>
      <xdr:rowOff>124556</xdr:rowOff>
    </xdr:to>
    <xdr:sp macro="" textlink="">
      <xdr:nvSpPr>
        <xdr:cNvPr id="1005" name="TextBox 1004"/>
        <xdr:cNvSpPr txBox="1"/>
      </xdr:nvSpPr>
      <xdr:spPr>
        <a:xfrm>
          <a:off x="15525750" y="3201863"/>
          <a:ext cx="2619638" cy="5568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1/4" NPT</a:t>
          </a:r>
          <a:r>
            <a:rPr lang="en-US" baseline="0"/>
            <a:t> </a:t>
          </a:r>
          <a:r>
            <a:rPr lang="en-US"/>
            <a:t>F/F/F</a:t>
          </a:r>
          <a:r>
            <a:rPr lang="en-US" baseline="0"/>
            <a:t> Brass Pipe Tee. 1000psi @ 72F. </a:t>
          </a:r>
          <a:r>
            <a:rPr lang="en-US"/>
            <a:t>50785K72</a:t>
          </a:r>
        </a:p>
      </xdr:txBody>
    </xdr:sp>
    <xdr:clientData/>
  </xdr:twoCellAnchor>
  <xdr:twoCellAnchor>
    <xdr:from>
      <xdr:col>20</xdr:col>
      <xdr:colOff>29302</xdr:colOff>
      <xdr:row>23</xdr:row>
      <xdr:rowOff>139211</xdr:rowOff>
    </xdr:from>
    <xdr:to>
      <xdr:col>20</xdr:col>
      <xdr:colOff>162652</xdr:colOff>
      <xdr:row>24</xdr:row>
      <xdr:rowOff>28819</xdr:rowOff>
    </xdr:to>
    <xdr:sp macro="" textlink="">
      <xdr:nvSpPr>
        <xdr:cNvPr id="1009" name="Pentagon 1008"/>
        <xdr:cNvSpPr/>
      </xdr:nvSpPr>
      <xdr:spPr>
        <a:xfrm>
          <a:off x="14192244" y="3934557"/>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20</xdr:col>
      <xdr:colOff>499725</xdr:colOff>
      <xdr:row>23</xdr:row>
      <xdr:rowOff>95250</xdr:rowOff>
    </xdr:from>
    <xdr:to>
      <xdr:col>20</xdr:col>
      <xdr:colOff>607063</xdr:colOff>
      <xdr:row>24</xdr:row>
      <xdr:rowOff>61102</xdr:rowOff>
    </xdr:to>
    <xdr:grpSp>
      <xdr:nvGrpSpPr>
        <xdr:cNvPr id="1011" name="Group 1010"/>
        <xdr:cNvGrpSpPr/>
      </xdr:nvGrpSpPr>
      <xdr:grpSpPr>
        <a:xfrm rot="10800000">
          <a:off x="14672925" y="3905250"/>
          <a:ext cx="107338" cy="127777"/>
          <a:chOff x="11549063" y="1904999"/>
          <a:chExt cx="214312" cy="198439"/>
        </a:xfrm>
      </xdr:grpSpPr>
      <xdr:cxnSp macro="">
        <xdr:nvCxnSpPr>
          <xdr:cNvPr id="1016" name="Straight Connector 1015"/>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17" name="Straight Connector 1016"/>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18" name="Straight Connector 1017"/>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19</xdr:col>
      <xdr:colOff>578827</xdr:colOff>
      <xdr:row>24</xdr:row>
      <xdr:rowOff>52436</xdr:rowOff>
    </xdr:from>
    <xdr:to>
      <xdr:col>20</xdr:col>
      <xdr:colOff>97694</xdr:colOff>
      <xdr:row>24</xdr:row>
      <xdr:rowOff>159811</xdr:rowOff>
    </xdr:to>
    <xdr:grpSp>
      <xdr:nvGrpSpPr>
        <xdr:cNvPr id="1012" name="Group 1011"/>
        <xdr:cNvGrpSpPr/>
      </xdr:nvGrpSpPr>
      <xdr:grpSpPr>
        <a:xfrm rot="16200000">
          <a:off x="14152973" y="4013815"/>
          <a:ext cx="107375" cy="128467"/>
          <a:chOff x="11549063" y="1904999"/>
          <a:chExt cx="214312" cy="198439"/>
        </a:xfrm>
      </xdr:grpSpPr>
      <xdr:cxnSp macro="">
        <xdr:nvCxnSpPr>
          <xdr:cNvPr id="1013" name="Straight Connector 1012"/>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14" name="Straight Connector 1013"/>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15" name="Straight Connector 1014"/>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29309</xdr:colOff>
      <xdr:row>30</xdr:row>
      <xdr:rowOff>1</xdr:rowOff>
    </xdr:from>
    <xdr:to>
      <xdr:col>20</xdr:col>
      <xdr:colOff>75029</xdr:colOff>
      <xdr:row>31</xdr:row>
      <xdr:rowOff>27090</xdr:rowOff>
    </xdr:to>
    <xdr:grpSp>
      <xdr:nvGrpSpPr>
        <xdr:cNvPr id="1019" name="Group 1018"/>
        <xdr:cNvGrpSpPr/>
      </xdr:nvGrpSpPr>
      <xdr:grpSpPr>
        <a:xfrm rot="5400000">
          <a:off x="14130862" y="5015123"/>
          <a:ext cx="189014" cy="45720"/>
          <a:chOff x="16085133" y="3919106"/>
          <a:chExt cx="826072" cy="142008"/>
        </a:xfrm>
      </xdr:grpSpPr>
      <xdr:sp macro="" textlink="">
        <xdr:nvSpPr>
          <xdr:cNvPr id="1020" name="Flowchart: Delay 1019"/>
          <xdr:cNvSpPr/>
        </xdr:nvSpPr>
        <xdr:spPr>
          <a:xfrm>
            <a:off x="16495568" y="3922568"/>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021" name="Flowchart: Delay 1020"/>
          <xdr:cNvSpPr/>
        </xdr:nvSpPr>
        <xdr:spPr>
          <a:xfrm rot="10800000">
            <a:off x="16085133" y="3919106"/>
            <a:ext cx="415637" cy="138546"/>
          </a:xfrm>
          <a:prstGeom prst="flowChartDelay">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20</xdr:col>
      <xdr:colOff>29310</xdr:colOff>
      <xdr:row>29</xdr:row>
      <xdr:rowOff>137609</xdr:rowOff>
    </xdr:from>
    <xdr:to>
      <xdr:col>23</xdr:col>
      <xdr:colOff>374325</xdr:colOff>
      <xdr:row>30</xdr:row>
      <xdr:rowOff>140916</xdr:rowOff>
    </xdr:to>
    <xdr:cxnSp macro="">
      <xdr:nvCxnSpPr>
        <xdr:cNvPr id="1024" name="Straight Arrow Connector 1023"/>
        <xdr:cNvCxnSpPr>
          <a:stCxn id="915" idx="1"/>
          <a:endCxn id="1020" idx="2"/>
        </xdr:cNvCxnSpPr>
      </xdr:nvCxnSpPr>
      <xdr:spPr>
        <a:xfrm flipH="1">
          <a:off x="14192252" y="4900109"/>
          <a:ext cx="2169419" cy="1644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109899</xdr:colOff>
      <xdr:row>23</xdr:row>
      <xdr:rowOff>95250</xdr:rowOff>
    </xdr:from>
    <xdr:to>
      <xdr:col>20</xdr:col>
      <xdr:colOff>217237</xdr:colOff>
      <xdr:row>24</xdr:row>
      <xdr:rowOff>61059</xdr:rowOff>
    </xdr:to>
    <xdr:grpSp>
      <xdr:nvGrpSpPr>
        <xdr:cNvPr id="1033" name="Group 1032"/>
        <xdr:cNvGrpSpPr/>
      </xdr:nvGrpSpPr>
      <xdr:grpSpPr>
        <a:xfrm>
          <a:off x="14283099" y="3905250"/>
          <a:ext cx="107338" cy="127734"/>
          <a:chOff x="11549063" y="1904999"/>
          <a:chExt cx="214312" cy="198439"/>
        </a:xfrm>
      </xdr:grpSpPr>
      <xdr:cxnSp macro="">
        <xdr:nvCxnSpPr>
          <xdr:cNvPr id="1038" name="Straight Connector 1037"/>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39" name="Straight Connector 1038"/>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40" name="Straight Connector 1039"/>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7670</xdr:colOff>
      <xdr:row>24</xdr:row>
      <xdr:rowOff>55678</xdr:rowOff>
    </xdr:from>
    <xdr:to>
      <xdr:col>21</xdr:col>
      <xdr:colOff>134671</xdr:colOff>
      <xdr:row>25</xdr:row>
      <xdr:rowOff>1823</xdr:rowOff>
    </xdr:to>
    <xdr:grpSp>
      <xdr:nvGrpSpPr>
        <xdr:cNvPr id="1034" name="Group 1033"/>
        <xdr:cNvGrpSpPr/>
      </xdr:nvGrpSpPr>
      <xdr:grpSpPr>
        <a:xfrm rot="16200000">
          <a:off x="14799936" y="4018137"/>
          <a:ext cx="108070" cy="127001"/>
          <a:chOff x="11549063" y="1904999"/>
          <a:chExt cx="214312" cy="198439"/>
        </a:xfrm>
      </xdr:grpSpPr>
      <xdr:cxnSp macro="">
        <xdr:nvCxnSpPr>
          <xdr:cNvPr id="1035" name="Straight Connector 103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36" name="Straight Connector 103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37" name="Straight Connector 103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600808</xdr:colOff>
      <xdr:row>24</xdr:row>
      <xdr:rowOff>102577</xdr:rowOff>
    </xdr:from>
    <xdr:to>
      <xdr:col>21</xdr:col>
      <xdr:colOff>149840</xdr:colOff>
      <xdr:row>27</xdr:row>
      <xdr:rowOff>53903</xdr:rowOff>
    </xdr:to>
    <xdr:grpSp>
      <xdr:nvGrpSpPr>
        <xdr:cNvPr id="1041" name="Group 1040"/>
        <xdr:cNvGrpSpPr/>
      </xdr:nvGrpSpPr>
      <xdr:grpSpPr>
        <a:xfrm>
          <a:off x="14774008" y="4074502"/>
          <a:ext cx="158632" cy="437101"/>
          <a:chOff x="14882536" y="4740520"/>
          <a:chExt cx="157167" cy="522826"/>
        </a:xfrm>
      </xdr:grpSpPr>
      <xdr:grpSp>
        <xdr:nvGrpSpPr>
          <xdr:cNvPr id="1042" name="Group 1041"/>
          <xdr:cNvGrpSpPr/>
        </xdr:nvGrpSpPr>
        <xdr:grpSpPr>
          <a:xfrm rot="16200000">
            <a:off x="14848010" y="4975999"/>
            <a:ext cx="226219" cy="157167"/>
            <a:chOff x="5703094" y="3033714"/>
            <a:chExt cx="226219" cy="157167"/>
          </a:xfrm>
        </xdr:grpSpPr>
        <xdr:sp macro="" textlink="">
          <xdr:nvSpPr>
            <xdr:cNvPr id="1048" name="Rectangle 1047"/>
            <xdr:cNvSpPr/>
          </xdr:nvSpPr>
          <xdr:spPr>
            <a:xfrm>
              <a:off x="5712618" y="3033714"/>
              <a:ext cx="216695" cy="157162"/>
            </a:xfrm>
            <a:prstGeom prst="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049" name="Straight Connector 1048"/>
            <xdr:cNvCxnSpPr/>
          </xdr:nvCxnSpPr>
          <xdr:spPr>
            <a:xfrm>
              <a:off x="5712617" y="3052765"/>
              <a:ext cx="204789" cy="138116"/>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050" name="Straight Connector 1049"/>
            <xdr:cNvCxnSpPr/>
          </xdr:nvCxnSpPr>
          <xdr:spPr>
            <a:xfrm flipV="1">
              <a:off x="5703094" y="3045625"/>
              <a:ext cx="200025" cy="145250"/>
            </a:xfrm>
            <a:prstGeom prst="line">
              <a:avLst/>
            </a:prstGeom>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43" name="Pentagon 1042"/>
          <xdr:cNvSpPr/>
        </xdr:nvSpPr>
        <xdr:spPr>
          <a:xfrm rot="16200000">
            <a:off x="14865543" y="4805153"/>
            <a:ext cx="19050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044" name="Group 1043"/>
          <xdr:cNvGrpSpPr/>
        </xdr:nvGrpSpPr>
        <xdr:grpSpPr>
          <a:xfrm rot="16200000">
            <a:off x="14905419" y="5159570"/>
            <a:ext cx="108631" cy="98921"/>
            <a:chOff x="11549063" y="1904999"/>
            <a:chExt cx="214312" cy="198439"/>
          </a:xfrm>
        </xdr:grpSpPr>
        <xdr:cxnSp macro="">
          <xdr:nvCxnSpPr>
            <xdr:cNvPr id="1045" name="Straight Connector 104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46" name="Straight Connector 104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47" name="Straight Connector 104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600809</xdr:colOff>
      <xdr:row>26</xdr:row>
      <xdr:rowOff>139211</xdr:rowOff>
    </xdr:from>
    <xdr:to>
      <xdr:col>21</xdr:col>
      <xdr:colOff>165110</xdr:colOff>
      <xdr:row>29</xdr:row>
      <xdr:rowOff>133956</xdr:rowOff>
    </xdr:to>
    <xdr:grpSp>
      <xdr:nvGrpSpPr>
        <xdr:cNvPr id="1059" name="Group 1058"/>
        <xdr:cNvGrpSpPr/>
      </xdr:nvGrpSpPr>
      <xdr:grpSpPr>
        <a:xfrm>
          <a:off x="14774009" y="4434986"/>
          <a:ext cx="173901" cy="480520"/>
          <a:chOff x="23582585" y="2693276"/>
          <a:chExt cx="172436" cy="487418"/>
        </a:xfrm>
      </xdr:grpSpPr>
      <xdr:grpSp>
        <xdr:nvGrpSpPr>
          <xdr:cNvPr id="1060" name="Group 1059"/>
          <xdr:cNvGrpSpPr/>
        </xdr:nvGrpSpPr>
        <xdr:grpSpPr>
          <a:xfrm>
            <a:off x="23582585" y="2839468"/>
            <a:ext cx="172436" cy="193776"/>
            <a:chOff x="5703094" y="3033714"/>
            <a:chExt cx="226219" cy="157167"/>
          </a:xfrm>
          <a:solidFill>
            <a:srgbClr val="A5D773"/>
          </a:solidFill>
        </xdr:grpSpPr>
        <xdr:sp macro="" textlink="">
          <xdr:nvSpPr>
            <xdr:cNvPr id="1063" name="Rectangle 1062"/>
            <xdr:cNvSpPr/>
          </xdr:nvSpPr>
          <xdr:spPr>
            <a:xfrm>
              <a:off x="5712618" y="3033714"/>
              <a:ext cx="216695" cy="157162"/>
            </a:xfrm>
            <a:prstGeom prst="rect">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064" name="Straight Connector 1063"/>
            <xdr:cNvCxnSpPr/>
          </xdr:nvCxnSpPr>
          <xdr:spPr>
            <a:xfrm>
              <a:off x="5712617" y="3052765"/>
              <a:ext cx="204789" cy="138116"/>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065" name="Straight Connector 1064"/>
            <xdr:cNvCxnSpPr/>
          </xdr:nvCxnSpPr>
          <xdr:spPr>
            <a:xfrm flipV="1">
              <a:off x="5703094" y="3045625"/>
              <a:ext cx="200025" cy="145250"/>
            </a:xfrm>
            <a:prstGeom prst="line">
              <a:avLst/>
            </a:prstGeom>
            <a:grpFill/>
            <a:ln w="254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61" name="Pentagon 1060"/>
          <xdr:cNvSpPr/>
        </xdr:nvSpPr>
        <xdr:spPr>
          <a:xfrm rot="5400000">
            <a:off x="23603851" y="3092426"/>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062" name="Pentagon 1061"/>
          <xdr:cNvSpPr/>
        </xdr:nvSpPr>
        <xdr:spPr>
          <a:xfrm rot="16200000">
            <a:off x="23597282" y="2731132"/>
            <a:ext cx="126124" cy="504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21</xdr:col>
      <xdr:colOff>7327</xdr:colOff>
      <xdr:row>29</xdr:row>
      <xdr:rowOff>58615</xdr:rowOff>
    </xdr:from>
    <xdr:to>
      <xdr:col>21</xdr:col>
      <xdr:colOff>162656</xdr:colOff>
      <xdr:row>32</xdr:row>
      <xdr:rowOff>16177</xdr:rowOff>
    </xdr:to>
    <xdr:grpSp>
      <xdr:nvGrpSpPr>
        <xdr:cNvPr id="1066" name="Group 1065"/>
        <xdr:cNvGrpSpPr/>
      </xdr:nvGrpSpPr>
      <xdr:grpSpPr>
        <a:xfrm>
          <a:off x="14790127" y="4840165"/>
          <a:ext cx="155329" cy="443337"/>
          <a:chOff x="10384971" y="9386673"/>
          <a:chExt cx="155329" cy="529061"/>
        </a:xfrm>
      </xdr:grpSpPr>
      <xdr:grpSp>
        <xdr:nvGrpSpPr>
          <xdr:cNvPr id="1067" name="Group 1066"/>
          <xdr:cNvGrpSpPr/>
        </xdr:nvGrpSpPr>
        <xdr:grpSpPr>
          <a:xfrm rot="16200000">
            <a:off x="10416428" y="9811958"/>
            <a:ext cx="108631" cy="98921"/>
            <a:chOff x="11549063" y="1904999"/>
            <a:chExt cx="214312" cy="198439"/>
          </a:xfrm>
        </xdr:grpSpPr>
        <xdr:cxnSp macro="">
          <xdr:nvCxnSpPr>
            <xdr:cNvPr id="1075" name="Straight Connector 107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76" name="Straight Connector 107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77" name="Straight Connector 107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1068" name="Group 1067"/>
          <xdr:cNvGrpSpPr/>
        </xdr:nvGrpSpPr>
        <xdr:grpSpPr>
          <a:xfrm rot="5400000">
            <a:off x="10400099" y="9391528"/>
            <a:ext cx="108631" cy="98921"/>
            <a:chOff x="11549063" y="1904999"/>
            <a:chExt cx="214312" cy="198439"/>
          </a:xfrm>
        </xdr:grpSpPr>
        <xdr:cxnSp macro="">
          <xdr:nvCxnSpPr>
            <xdr:cNvPr id="1072" name="Straight Connector 1071"/>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73" name="Straight Connector 1072"/>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74" name="Straight Connector 1073"/>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1069" name="Group 1068"/>
          <xdr:cNvGrpSpPr/>
        </xdr:nvGrpSpPr>
        <xdr:grpSpPr>
          <a:xfrm rot="16200000">
            <a:off x="10320591" y="9575812"/>
            <a:ext cx="284089" cy="155329"/>
            <a:chOff x="2667000" y="1262063"/>
            <a:chExt cx="428625" cy="226218"/>
          </a:xfrm>
        </xdr:grpSpPr>
        <xdr:sp macro="" textlink="">
          <xdr:nvSpPr>
            <xdr:cNvPr id="1070" name="Rectangle 1069"/>
            <xdr:cNvSpPr/>
          </xdr:nvSpPr>
          <xdr:spPr>
            <a:xfrm>
              <a:off x="2678906" y="1262063"/>
              <a:ext cx="416719" cy="2262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071" name="Straight Arrow Connector 1070"/>
            <xdr:cNvCxnSpPr/>
          </xdr:nvCxnSpPr>
          <xdr:spPr>
            <a:xfrm flipH="1">
              <a:off x="2667000" y="1363266"/>
              <a:ext cx="416719" cy="1588"/>
            </a:xfrm>
            <a:prstGeom prst="straightConnector1">
              <a:avLst/>
            </a:prstGeom>
            <a:ln w="2667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21</xdr:col>
      <xdr:colOff>65942</xdr:colOff>
      <xdr:row>31</xdr:row>
      <xdr:rowOff>139212</xdr:rowOff>
    </xdr:from>
    <xdr:to>
      <xdr:col>21</xdr:col>
      <xdr:colOff>123565</xdr:colOff>
      <xdr:row>33</xdr:row>
      <xdr:rowOff>74712</xdr:rowOff>
    </xdr:to>
    <xdr:grpSp>
      <xdr:nvGrpSpPr>
        <xdr:cNvPr id="1083" name="Group 1082"/>
        <xdr:cNvGrpSpPr/>
      </xdr:nvGrpSpPr>
      <xdr:grpSpPr>
        <a:xfrm>
          <a:off x="14848742" y="5244612"/>
          <a:ext cx="57623" cy="259350"/>
          <a:chOff x="14507769" y="5601890"/>
          <a:chExt cx="57623" cy="257426"/>
        </a:xfrm>
      </xdr:grpSpPr>
      <xdr:sp macro="" textlink="">
        <xdr:nvSpPr>
          <xdr:cNvPr id="1084" name="Pentagon 1083"/>
          <xdr:cNvSpPr/>
        </xdr:nvSpPr>
        <xdr:spPr>
          <a:xfrm rot="16200000">
            <a:off x="14471852" y="5637807"/>
            <a:ext cx="122633"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085" name="Group 1084"/>
          <xdr:cNvGrpSpPr/>
        </xdr:nvGrpSpPr>
        <xdr:grpSpPr>
          <a:xfrm rot="16200000">
            <a:off x="14485257" y="5779181"/>
            <a:ext cx="114550" cy="45720"/>
            <a:chOff x="11549063" y="1904999"/>
            <a:chExt cx="214312" cy="198439"/>
          </a:xfrm>
        </xdr:grpSpPr>
        <xdr:cxnSp macro="">
          <xdr:nvCxnSpPr>
            <xdr:cNvPr id="1086" name="Straight Connector 1085"/>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87" name="Straight Connector 1086"/>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088" name="Straight Connector 1087"/>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21</xdr:col>
      <xdr:colOff>162657</xdr:colOff>
      <xdr:row>30</xdr:row>
      <xdr:rowOff>116598</xdr:rowOff>
    </xdr:from>
    <xdr:to>
      <xdr:col>27</xdr:col>
      <xdr:colOff>349770</xdr:colOff>
      <xdr:row>33</xdr:row>
      <xdr:rowOff>17393</xdr:rowOff>
    </xdr:to>
    <xdr:cxnSp macro="">
      <xdr:nvCxnSpPr>
        <xdr:cNvPr id="1089" name="Straight Arrow Connector 1088"/>
        <xdr:cNvCxnSpPr>
          <a:stCxn id="522" idx="0"/>
          <a:endCxn id="1070" idx="2"/>
        </xdr:cNvCxnSpPr>
      </xdr:nvCxnSpPr>
      <xdr:spPr>
        <a:xfrm flipH="1" flipV="1">
          <a:off x="14933734" y="5040290"/>
          <a:ext cx="3835921" cy="3843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83277</xdr:colOff>
      <xdr:row>21</xdr:row>
      <xdr:rowOff>7325</xdr:rowOff>
    </xdr:from>
    <xdr:to>
      <xdr:col>22</xdr:col>
      <xdr:colOff>146538</xdr:colOff>
      <xdr:row>23</xdr:row>
      <xdr:rowOff>139211</xdr:rowOff>
    </xdr:to>
    <xdr:cxnSp macro="">
      <xdr:nvCxnSpPr>
        <xdr:cNvPr id="1102" name="Straight Arrow Connector 1101"/>
        <xdr:cNvCxnSpPr>
          <a:stCxn id="1005" idx="1"/>
          <a:endCxn id="1009" idx="0"/>
        </xdr:cNvCxnSpPr>
      </xdr:nvCxnSpPr>
      <xdr:spPr>
        <a:xfrm flipH="1">
          <a:off x="14246219" y="3480287"/>
          <a:ext cx="1279531" cy="45427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445228</xdr:colOff>
      <xdr:row>26</xdr:row>
      <xdr:rowOff>7327</xdr:rowOff>
    </xdr:from>
    <xdr:to>
      <xdr:col>4</xdr:col>
      <xdr:colOff>591752</xdr:colOff>
      <xdr:row>27</xdr:row>
      <xdr:rowOff>24287</xdr:rowOff>
    </xdr:to>
    <xdr:grpSp>
      <xdr:nvGrpSpPr>
        <xdr:cNvPr id="1125" name="Group 1124"/>
        <xdr:cNvGrpSpPr/>
      </xdr:nvGrpSpPr>
      <xdr:grpSpPr>
        <a:xfrm>
          <a:off x="3064603" y="4303102"/>
          <a:ext cx="146524" cy="178885"/>
          <a:chOff x="3524734" y="4286250"/>
          <a:chExt cx="146524" cy="178152"/>
        </a:xfrm>
      </xdr:grpSpPr>
      <xdr:grpSp>
        <xdr:nvGrpSpPr>
          <xdr:cNvPr id="1106" name="Group 1105"/>
          <xdr:cNvGrpSpPr/>
        </xdr:nvGrpSpPr>
        <xdr:grpSpPr>
          <a:xfrm rot="16200000">
            <a:off x="3534566" y="4347232"/>
            <a:ext cx="107338" cy="127001"/>
            <a:chOff x="11549063" y="1904999"/>
            <a:chExt cx="214312" cy="198439"/>
          </a:xfrm>
        </xdr:grpSpPr>
        <xdr:cxnSp macro="">
          <xdr:nvCxnSpPr>
            <xdr:cNvPr id="1111" name="Straight Connector 1110"/>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12" name="Straight Connector 1111"/>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13" name="Straight Connector 1112"/>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124" name="Pentagon 1123"/>
          <xdr:cNvSpPr/>
        </xdr:nvSpPr>
        <xdr:spPr>
          <a:xfrm>
            <a:off x="3546231" y="4286250"/>
            <a:ext cx="125027"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564173</xdr:colOff>
      <xdr:row>26</xdr:row>
      <xdr:rowOff>0</xdr:rowOff>
    </xdr:from>
    <xdr:to>
      <xdr:col>6</xdr:col>
      <xdr:colOff>739980</xdr:colOff>
      <xdr:row>27</xdr:row>
      <xdr:rowOff>10746</xdr:rowOff>
    </xdr:to>
    <xdr:grpSp>
      <xdr:nvGrpSpPr>
        <xdr:cNvPr id="1133" name="Group 1132"/>
        <xdr:cNvGrpSpPr/>
      </xdr:nvGrpSpPr>
      <xdr:grpSpPr>
        <a:xfrm>
          <a:off x="4507523" y="4295775"/>
          <a:ext cx="175807" cy="172671"/>
          <a:chOff x="4513385" y="4278923"/>
          <a:chExt cx="175807" cy="171938"/>
        </a:xfrm>
      </xdr:grpSpPr>
      <xdr:grpSp>
        <xdr:nvGrpSpPr>
          <xdr:cNvPr id="1115" name="Group 1114"/>
          <xdr:cNvGrpSpPr/>
        </xdr:nvGrpSpPr>
        <xdr:grpSpPr>
          <a:xfrm rot="16200000">
            <a:off x="4572001" y="4333670"/>
            <a:ext cx="107338" cy="127044"/>
            <a:chOff x="11549063" y="1904999"/>
            <a:chExt cx="214312" cy="198439"/>
          </a:xfrm>
        </xdr:grpSpPr>
        <xdr:cxnSp macro="">
          <xdr:nvCxnSpPr>
            <xdr:cNvPr id="1120" name="Straight Connector 1119"/>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21" name="Straight Connector 1120"/>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122" name="Straight Connector 1121"/>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132" name="Pentagon 1131"/>
          <xdr:cNvSpPr/>
        </xdr:nvSpPr>
        <xdr:spPr>
          <a:xfrm rot="10800000">
            <a:off x="4513385" y="4278923"/>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0</xdr:col>
      <xdr:colOff>402981</xdr:colOff>
      <xdr:row>32</xdr:row>
      <xdr:rowOff>139212</xdr:rowOff>
    </xdr:from>
    <xdr:to>
      <xdr:col>4</xdr:col>
      <xdr:colOff>204005</xdr:colOff>
      <xdr:row>35</xdr:row>
      <xdr:rowOff>102576</xdr:rowOff>
    </xdr:to>
    <xdr:sp macro="" textlink="">
      <xdr:nvSpPr>
        <xdr:cNvPr id="1139" name="TextBox 1138"/>
        <xdr:cNvSpPr txBox="1"/>
      </xdr:nvSpPr>
      <xdr:spPr>
        <a:xfrm>
          <a:off x="402981" y="5385289"/>
          <a:ext cx="2424062" cy="446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1/8" NPT M/F 90o elbow. 1000psi @ 72F. 50785K41</a:t>
          </a:r>
        </a:p>
      </xdr:txBody>
    </xdr:sp>
    <xdr:clientData/>
  </xdr:twoCellAnchor>
  <xdr:twoCellAnchor>
    <xdr:from>
      <xdr:col>6</xdr:col>
      <xdr:colOff>674076</xdr:colOff>
      <xdr:row>34</xdr:row>
      <xdr:rowOff>161191</xdr:rowOff>
    </xdr:from>
    <xdr:to>
      <xdr:col>6</xdr:col>
      <xdr:colOff>677506</xdr:colOff>
      <xdr:row>38</xdr:row>
      <xdr:rowOff>65062</xdr:rowOff>
    </xdr:to>
    <xdr:cxnSp macro="">
      <xdr:nvCxnSpPr>
        <xdr:cNvPr id="1146" name="Straight Connector 1145"/>
        <xdr:cNvCxnSpPr/>
      </xdr:nvCxnSpPr>
      <xdr:spPr>
        <a:xfrm flipV="1">
          <a:off x="4623288" y="5729653"/>
          <a:ext cx="3430" cy="54864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234461</xdr:colOff>
      <xdr:row>23</xdr:row>
      <xdr:rowOff>87923</xdr:rowOff>
    </xdr:from>
    <xdr:to>
      <xdr:col>26</xdr:col>
      <xdr:colOff>421561</xdr:colOff>
      <xdr:row>26</xdr:row>
      <xdr:rowOff>80596</xdr:rowOff>
    </xdr:to>
    <xdr:sp macro="" textlink="">
      <xdr:nvSpPr>
        <xdr:cNvPr id="1149" name="TextBox 1148"/>
        <xdr:cNvSpPr txBox="1"/>
      </xdr:nvSpPr>
      <xdr:spPr>
        <a:xfrm>
          <a:off x="15613673" y="3883269"/>
          <a:ext cx="2619638"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M/F 1/4" NPT 90o</a:t>
          </a:r>
          <a:r>
            <a:rPr lang="en-US" sz="1100" baseline="0">
              <a:solidFill>
                <a:schemeClr val="dk1"/>
              </a:solidFill>
              <a:latin typeface="+mn-lt"/>
              <a:ea typeface="+mn-ea"/>
              <a:cs typeface="+mn-cs"/>
            </a:rPr>
            <a:t> Elbow b</a:t>
          </a:r>
          <a:r>
            <a:rPr lang="en-US" sz="1100">
              <a:solidFill>
                <a:schemeClr val="dk1"/>
              </a:solidFill>
              <a:latin typeface="+mn-lt"/>
              <a:ea typeface="+mn-ea"/>
              <a:cs typeface="+mn-cs"/>
            </a:rPr>
            <a:t>rass Pipe</a:t>
          </a:r>
          <a:r>
            <a:rPr lang="en-US" sz="1100" baseline="0">
              <a:solidFill>
                <a:schemeClr val="dk1"/>
              </a:solidFill>
              <a:latin typeface="+mn-lt"/>
              <a:ea typeface="+mn-ea"/>
              <a:cs typeface="+mn-cs"/>
            </a:rPr>
            <a:t> Fitting. 1000psi @72F. 50785K43</a:t>
          </a:r>
          <a:endParaRPr lang="en-US"/>
        </a:p>
      </xdr:txBody>
    </xdr:sp>
    <xdr:clientData/>
  </xdr:twoCellAnchor>
  <xdr:twoCellAnchor>
    <xdr:from>
      <xdr:col>21</xdr:col>
      <xdr:colOff>80596</xdr:colOff>
      <xdr:row>33</xdr:row>
      <xdr:rowOff>65943</xdr:rowOff>
    </xdr:from>
    <xdr:to>
      <xdr:col>21</xdr:col>
      <xdr:colOff>131396</xdr:colOff>
      <xdr:row>34</xdr:row>
      <xdr:rowOff>28842</xdr:rowOff>
    </xdr:to>
    <xdr:sp macro="" textlink="">
      <xdr:nvSpPr>
        <xdr:cNvPr id="1158" name="Pentagon 1157"/>
        <xdr:cNvSpPr/>
      </xdr:nvSpPr>
      <xdr:spPr>
        <a:xfrm rot="16200000">
          <a:off x="14815027" y="5509858"/>
          <a:ext cx="124092"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21</xdr:col>
      <xdr:colOff>105782</xdr:colOff>
      <xdr:row>34</xdr:row>
      <xdr:rowOff>36176</xdr:rowOff>
    </xdr:from>
    <xdr:to>
      <xdr:col>21</xdr:col>
      <xdr:colOff>109212</xdr:colOff>
      <xdr:row>51</xdr:row>
      <xdr:rowOff>39107</xdr:rowOff>
    </xdr:to>
    <xdr:cxnSp macro="">
      <xdr:nvCxnSpPr>
        <xdr:cNvPr id="1159" name="Straight Connector 1158"/>
        <xdr:cNvCxnSpPr/>
      </xdr:nvCxnSpPr>
      <xdr:spPr>
        <a:xfrm flipV="1">
          <a:off x="14876859" y="5604638"/>
          <a:ext cx="3430" cy="2743200"/>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153865</xdr:colOff>
      <xdr:row>51</xdr:row>
      <xdr:rowOff>29307</xdr:rowOff>
    </xdr:from>
    <xdr:to>
      <xdr:col>21</xdr:col>
      <xdr:colOff>130595</xdr:colOff>
      <xdr:row>51</xdr:row>
      <xdr:rowOff>29307</xdr:rowOff>
    </xdr:to>
    <xdr:cxnSp macro="">
      <xdr:nvCxnSpPr>
        <xdr:cNvPr id="1160" name="Straight Connector 1159"/>
        <xdr:cNvCxnSpPr/>
      </xdr:nvCxnSpPr>
      <xdr:spPr>
        <a:xfrm flipH="1">
          <a:off x="10668000" y="8338038"/>
          <a:ext cx="4233672" cy="0"/>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186836</xdr:colOff>
      <xdr:row>51</xdr:row>
      <xdr:rowOff>0</xdr:rowOff>
    </xdr:from>
    <xdr:to>
      <xdr:col>14</xdr:col>
      <xdr:colOff>190266</xdr:colOff>
      <xdr:row>51</xdr:row>
      <xdr:rowOff>91897</xdr:rowOff>
    </xdr:to>
    <xdr:cxnSp macro="">
      <xdr:nvCxnSpPr>
        <xdr:cNvPr id="1161" name="Straight Connector 1160"/>
        <xdr:cNvCxnSpPr/>
      </xdr:nvCxnSpPr>
      <xdr:spPr>
        <a:xfrm flipV="1">
          <a:off x="10702436" y="8343900"/>
          <a:ext cx="3430" cy="91897"/>
        </a:xfrm>
        <a:prstGeom prst="line">
          <a:avLst/>
        </a:prstGeom>
        <a:ln w="63500">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127304</xdr:colOff>
      <xdr:row>51</xdr:row>
      <xdr:rowOff>69504</xdr:rowOff>
    </xdr:from>
    <xdr:to>
      <xdr:col>14</xdr:col>
      <xdr:colOff>242965</xdr:colOff>
      <xdr:row>53</xdr:row>
      <xdr:rowOff>101882</xdr:rowOff>
    </xdr:to>
    <xdr:grpSp>
      <xdr:nvGrpSpPr>
        <xdr:cNvPr id="1162" name="Group 1161"/>
        <xdr:cNvGrpSpPr/>
      </xdr:nvGrpSpPr>
      <xdr:grpSpPr>
        <a:xfrm rot="10800000">
          <a:off x="10642904" y="8413404"/>
          <a:ext cx="115661" cy="356228"/>
          <a:chOff x="12368892" y="4279450"/>
          <a:chExt cx="115661" cy="442228"/>
        </a:xfrm>
      </xdr:grpSpPr>
      <xdr:sp macro="" textlink="">
        <xdr:nvSpPr>
          <xdr:cNvPr id="1163" name="Up Arrow 1162"/>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64" name="Down Arrow 1163"/>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65" name="Group 1164"/>
          <xdr:cNvGrpSpPr/>
        </xdr:nvGrpSpPr>
        <xdr:grpSpPr>
          <a:xfrm rot="16200000">
            <a:off x="12341678" y="4578803"/>
            <a:ext cx="170089" cy="115661"/>
            <a:chOff x="11549063" y="1904999"/>
            <a:chExt cx="214312" cy="198439"/>
          </a:xfrm>
        </xdr:grpSpPr>
        <xdr:cxnSp macro="">
          <xdr:nvCxnSpPr>
            <xdr:cNvPr id="1166" name="Straight Connector 1165"/>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167" name="Straight Connector 1166"/>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168" name="Straight Connector 1167"/>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14</xdr:col>
      <xdr:colOff>163937</xdr:colOff>
      <xdr:row>51</xdr:row>
      <xdr:rowOff>65945</xdr:rowOff>
    </xdr:from>
    <xdr:to>
      <xdr:col>14</xdr:col>
      <xdr:colOff>209656</xdr:colOff>
      <xdr:row>52</xdr:row>
      <xdr:rowOff>3843</xdr:rowOff>
    </xdr:to>
    <xdr:sp macro="" textlink="">
      <xdr:nvSpPr>
        <xdr:cNvPr id="1169" name="Pentagon 1168"/>
        <xdr:cNvSpPr/>
      </xdr:nvSpPr>
      <xdr:spPr>
        <a:xfrm rot="5400000">
          <a:off x="10652485" y="8436897"/>
          <a:ext cx="99823" cy="45719"/>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14</xdr:col>
      <xdr:colOff>153006</xdr:colOff>
      <xdr:row>54</xdr:row>
      <xdr:rowOff>34731</xdr:rowOff>
    </xdr:from>
    <xdr:to>
      <xdr:col>14</xdr:col>
      <xdr:colOff>226286</xdr:colOff>
      <xdr:row>57</xdr:row>
      <xdr:rowOff>33039</xdr:rowOff>
    </xdr:to>
    <xdr:grpSp>
      <xdr:nvGrpSpPr>
        <xdr:cNvPr id="1179" name="Group 1178"/>
        <xdr:cNvGrpSpPr/>
      </xdr:nvGrpSpPr>
      <xdr:grpSpPr>
        <a:xfrm>
          <a:off x="10668606" y="8864406"/>
          <a:ext cx="73280" cy="484083"/>
          <a:chOff x="8939481" y="6687051"/>
          <a:chExt cx="72823" cy="486006"/>
        </a:xfrm>
      </xdr:grpSpPr>
      <xdr:sp macro="" textlink="">
        <xdr:nvSpPr>
          <xdr:cNvPr id="1180" name="Pentagon 1179"/>
          <xdr:cNvSpPr/>
        </xdr:nvSpPr>
        <xdr:spPr>
          <a:xfrm rot="16200000">
            <a:off x="8894315" y="6737444"/>
            <a:ext cx="16202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181" name="Isosceles Triangle 1180"/>
          <xdr:cNvSpPr/>
        </xdr:nvSpPr>
        <xdr:spPr>
          <a:xfrm rot="10800000">
            <a:off x="8939481" y="6860354"/>
            <a:ext cx="72823" cy="312703"/>
          </a:xfrm>
          <a:prstGeom prst="triangle">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14</xdr:col>
      <xdr:colOff>208946</xdr:colOff>
      <xdr:row>41</xdr:row>
      <xdr:rowOff>106789</xdr:rowOff>
    </xdr:from>
    <xdr:to>
      <xdr:col>15</xdr:col>
      <xdr:colOff>511605</xdr:colOff>
      <xdr:row>52</xdr:row>
      <xdr:rowOff>92853</xdr:rowOff>
    </xdr:to>
    <xdr:cxnSp macro="">
      <xdr:nvCxnSpPr>
        <xdr:cNvPr id="1186" name="Straight Arrow Connector 1185"/>
        <xdr:cNvCxnSpPr>
          <a:stCxn id="546" idx="1"/>
          <a:endCxn id="1163" idx="1"/>
        </xdr:cNvCxnSpPr>
      </xdr:nvCxnSpPr>
      <xdr:spPr>
        <a:xfrm flipH="1">
          <a:off x="10723081" y="6803597"/>
          <a:ext cx="910793" cy="175917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105996</xdr:colOff>
      <xdr:row>34</xdr:row>
      <xdr:rowOff>28842</xdr:rowOff>
    </xdr:from>
    <xdr:to>
      <xdr:col>25</xdr:col>
      <xdr:colOff>503222</xdr:colOff>
      <xdr:row>43</xdr:row>
      <xdr:rowOff>130511</xdr:rowOff>
    </xdr:to>
    <xdr:cxnSp macro="">
      <xdr:nvCxnSpPr>
        <xdr:cNvPr id="1191" name="Straight Arrow Connector 1190"/>
        <xdr:cNvCxnSpPr>
          <a:stCxn id="971" idx="0"/>
          <a:endCxn id="1158" idx="1"/>
        </xdr:cNvCxnSpPr>
      </xdr:nvCxnSpPr>
      <xdr:spPr>
        <a:xfrm flipH="1" flipV="1">
          <a:off x="14877073" y="5597304"/>
          <a:ext cx="2829764" cy="15523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1384787</xdr:colOff>
      <xdr:row>56</xdr:row>
      <xdr:rowOff>124559</xdr:rowOff>
    </xdr:from>
    <xdr:to>
      <xdr:col>10</xdr:col>
      <xdr:colOff>216962</xdr:colOff>
      <xdr:row>57</xdr:row>
      <xdr:rowOff>81422</xdr:rowOff>
    </xdr:to>
    <xdr:grpSp>
      <xdr:nvGrpSpPr>
        <xdr:cNvPr id="1194" name="Group 1193"/>
        <xdr:cNvGrpSpPr/>
      </xdr:nvGrpSpPr>
      <xdr:grpSpPr>
        <a:xfrm rot="5400000">
          <a:off x="7599481" y="9159390"/>
          <a:ext cx="118788" cy="356175"/>
          <a:chOff x="12368892" y="4279450"/>
          <a:chExt cx="115661" cy="442228"/>
        </a:xfrm>
      </xdr:grpSpPr>
      <xdr:sp macro="" textlink="">
        <xdr:nvSpPr>
          <xdr:cNvPr id="1195" name="Up Arrow 1194"/>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96" name="Down Arrow 1195"/>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97" name="Group 1196"/>
          <xdr:cNvGrpSpPr/>
        </xdr:nvGrpSpPr>
        <xdr:grpSpPr>
          <a:xfrm rot="16200000">
            <a:off x="12341678" y="4578803"/>
            <a:ext cx="170089" cy="115661"/>
            <a:chOff x="11549063" y="1904999"/>
            <a:chExt cx="214312" cy="198439"/>
          </a:xfrm>
        </xdr:grpSpPr>
        <xdr:cxnSp macro="">
          <xdr:nvCxnSpPr>
            <xdr:cNvPr id="1198" name="Straight Connector 1197"/>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199" name="Straight Connector 1198"/>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00" name="Straight Connector 1199"/>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9</xdr:col>
      <xdr:colOff>1326171</xdr:colOff>
      <xdr:row>57</xdr:row>
      <xdr:rowOff>0</xdr:rowOff>
    </xdr:from>
    <xdr:to>
      <xdr:col>9</xdr:col>
      <xdr:colOff>1459521</xdr:colOff>
      <xdr:row>57</xdr:row>
      <xdr:rowOff>50800</xdr:rowOff>
    </xdr:to>
    <xdr:sp macro="" textlink="">
      <xdr:nvSpPr>
        <xdr:cNvPr id="1221" name="Pentagon 1220"/>
        <xdr:cNvSpPr/>
      </xdr:nvSpPr>
      <xdr:spPr>
        <a:xfrm>
          <a:off x="7429498" y="9275885"/>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10</xdr:col>
      <xdr:colOff>443643</xdr:colOff>
      <xdr:row>53</xdr:row>
      <xdr:rowOff>135183</xdr:rowOff>
    </xdr:from>
    <xdr:to>
      <xdr:col>10</xdr:col>
      <xdr:colOff>561699</xdr:colOff>
      <xdr:row>56</xdr:row>
      <xdr:rowOff>7049</xdr:rowOff>
    </xdr:to>
    <xdr:grpSp>
      <xdr:nvGrpSpPr>
        <xdr:cNvPr id="1236" name="Group 1235"/>
        <xdr:cNvGrpSpPr/>
      </xdr:nvGrpSpPr>
      <xdr:grpSpPr>
        <a:xfrm rot="10800000">
          <a:off x="8063643" y="8802933"/>
          <a:ext cx="118056" cy="357641"/>
          <a:chOff x="12368892" y="4279450"/>
          <a:chExt cx="115661" cy="442228"/>
        </a:xfrm>
      </xdr:grpSpPr>
      <xdr:sp macro="" textlink="">
        <xdr:nvSpPr>
          <xdr:cNvPr id="1237" name="Up Arrow 1236"/>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8" name="Down Arrow 1237"/>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39" name="Group 1238"/>
          <xdr:cNvGrpSpPr/>
        </xdr:nvGrpSpPr>
        <xdr:grpSpPr>
          <a:xfrm rot="16200000">
            <a:off x="12341678" y="4578803"/>
            <a:ext cx="170089" cy="115661"/>
            <a:chOff x="11549063" y="1904999"/>
            <a:chExt cx="214312" cy="198439"/>
          </a:xfrm>
        </xdr:grpSpPr>
        <xdr:cxnSp macro="">
          <xdr:nvCxnSpPr>
            <xdr:cNvPr id="1240" name="Straight Connector 1239"/>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41" name="Straight Connector 1240"/>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42" name="Straight Connector 1241"/>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465235</xdr:colOff>
      <xdr:row>51</xdr:row>
      <xdr:rowOff>75492</xdr:rowOff>
    </xdr:from>
    <xdr:to>
      <xdr:col>10</xdr:col>
      <xdr:colOff>538058</xdr:colOff>
      <xdr:row>54</xdr:row>
      <xdr:rowOff>77927</xdr:rowOff>
    </xdr:to>
    <xdr:grpSp>
      <xdr:nvGrpSpPr>
        <xdr:cNvPr id="1243" name="Group 1242"/>
        <xdr:cNvGrpSpPr/>
      </xdr:nvGrpSpPr>
      <xdr:grpSpPr>
        <a:xfrm>
          <a:off x="8085235" y="8419392"/>
          <a:ext cx="72823" cy="488210"/>
          <a:chOff x="8939493" y="6687051"/>
          <a:chExt cx="72823" cy="486012"/>
        </a:xfrm>
      </xdr:grpSpPr>
      <xdr:sp macro="" textlink="">
        <xdr:nvSpPr>
          <xdr:cNvPr id="1244" name="Pentagon 1243"/>
          <xdr:cNvSpPr/>
        </xdr:nvSpPr>
        <xdr:spPr>
          <a:xfrm rot="16200000">
            <a:off x="8894315" y="6737444"/>
            <a:ext cx="162020" cy="61233"/>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245" name="Isosceles Triangle 1244"/>
          <xdr:cNvSpPr/>
        </xdr:nvSpPr>
        <xdr:spPr>
          <a:xfrm rot="10800000">
            <a:off x="8939493" y="6860360"/>
            <a:ext cx="72823" cy="312703"/>
          </a:xfrm>
          <a:prstGeom prst="triangle">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9</xdr:col>
      <xdr:colOff>1164981</xdr:colOff>
      <xdr:row>50</xdr:row>
      <xdr:rowOff>9526</xdr:rowOff>
    </xdr:from>
    <xdr:to>
      <xdr:col>9</xdr:col>
      <xdr:colOff>1168411</xdr:colOff>
      <xdr:row>57</xdr:row>
      <xdr:rowOff>19051</xdr:rowOff>
    </xdr:to>
    <xdr:cxnSp macro="">
      <xdr:nvCxnSpPr>
        <xdr:cNvPr id="1246" name="Straight Connector 1245"/>
        <xdr:cNvCxnSpPr/>
      </xdr:nvCxnSpPr>
      <xdr:spPr>
        <a:xfrm flipV="1">
          <a:off x="7260981" y="8191501"/>
          <a:ext cx="3430" cy="114300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1143001</xdr:colOff>
      <xdr:row>57</xdr:row>
      <xdr:rowOff>29310</xdr:rowOff>
    </xdr:from>
    <xdr:to>
      <xdr:col>9</xdr:col>
      <xdr:colOff>1325881</xdr:colOff>
      <xdr:row>57</xdr:row>
      <xdr:rowOff>29310</xdr:rowOff>
    </xdr:to>
    <xdr:cxnSp macro="">
      <xdr:nvCxnSpPr>
        <xdr:cNvPr id="1247" name="Straight Connector 1246"/>
        <xdr:cNvCxnSpPr/>
      </xdr:nvCxnSpPr>
      <xdr:spPr>
        <a:xfrm flipH="1">
          <a:off x="7246328" y="9305195"/>
          <a:ext cx="18288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1143007</xdr:colOff>
      <xdr:row>50</xdr:row>
      <xdr:rowOff>7328</xdr:rowOff>
    </xdr:from>
    <xdr:to>
      <xdr:col>10</xdr:col>
      <xdr:colOff>487687</xdr:colOff>
      <xdr:row>50</xdr:row>
      <xdr:rowOff>7328</xdr:rowOff>
    </xdr:to>
    <xdr:cxnSp macro="">
      <xdr:nvCxnSpPr>
        <xdr:cNvPr id="1257" name="Straight Connector 1256"/>
        <xdr:cNvCxnSpPr/>
      </xdr:nvCxnSpPr>
      <xdr:spPr>
        <a:xfrm flipH="1">
          <a:off x="7239007" y="8189303"/>
          <a:ext cx="86868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505549</xdr:colOff>
      <xdr:row>36</xdr:row>
      <xdr:rowOff>9357</xdr:rowOff>
    </xdr:from>
    <xdr:to>
      <xdr:col>13</xdr:col>
      <xdr:colOff>257685</xdr:colOff>
      <xdr:row>50</xdr:row>
      <xdr:rowOff>85970</xdr:rowOff>
    </xdr:to>
    <xdr:cxnSp macro="">
      <xdr:nvCxnSpPr>
        <xdr:cNvPr id="1258" name="Straight Arrow Connector 1257"/>
        <xdr:cNvCxnSpPr>
          <a:stCxn id="89" idx="2"/>
          <a:endCxn id="1262" idx="0"/>
        </xdr:cNvCxnSpPr>
      </xdr:nvCxnSpPr>
      <xdr:spPr>
        <a:xfrm flipH="1">
          <a:off x="8125549" y="5924382"/>
          <a:ext cx="2038136" cy="23435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454749</xdr:colOff>
      <xdr:row>50</xdr:row>
      <xdr:rowOff>36155</xdr:rowOff>
    </xdr:from>
    <xdr:to>
      <xdr:col>10</xdr:col>
      <xdr:colOff>505549</xdr:colOff>
      <xdr:row>50</xdr:row>
      <xdr:rowOff>161182</xdr:rowOff>
    </xdr:to>
    <xdr:sp macro="" textlink="">
      <xdr:nvSpPr>
        <xdr:cNvPr id="1262" name="Pentagon 1261"/>
        <xdr:cNvSpPr/>
      </xdr:nvSpPr>
      <xdr:spPr>
        <a:xfrm rot="5400000">
          <a:off x="8037635" y="8255244"/>
          <a:ext cx="125027"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9</xdr:col>
      <xdr:colOff>1377460</xdr:colOff>
      <xdr:row>60</xdr:row>
      <xdr:rowOff>0</xdr:rowOff>
    </xdr:from>
    <xdr:to>
      <xdr:col>10</xdr:col>
      <xdr:colOff>209635</xdr:colOff>
      <xdr:row>60</xdr:row>
      <xdr:rowOff>118056</xdr:rowOff>
    </xdr:to>
    <xdr:grpSp>
      <xdr:nvGrpSpPr>
        <xdr:cNvPr id="1271" name="Group 1270"/>
        <xdr:cNvGrpSpPr/>
      </xdr:nvGrpSpPr>
      <xdr:grpSpPr>
        <a:xfrm rot="5400000">
          <a:off x="7592520" y="9682165"/>
          <a:ext cx="118056" cy="356175"/>
          <a:chOff x="12368892" y="4279450"/>
          <a:chExt cx="115661" cy="442228"/>
        </a:xfrm>
      </xdr:grpSpPr>
      <xdr:sp macro="" textlink="">
        <xdr:nvSpPr>
          <xdr:cNvPr id="1272" name="Up Arrow 1271"/>
          <xdr:cNvSpPr/>
        </xdr:nvSpPr>
        <xdr:spPr>
          <a:xfrm>
            <a:off x="12402911" y="4463143"/>
            <a:ext cx="45719" cy="88446"/>
          </a:xfrm>
          <a:prstGeom prst="up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73" name="Down Arrow 1272"/>
          <xdr:cNvSpPr/>
        </xdr:nvSpPr>
        <xdr:spPr>
          <a:xfrm>
            <a:off x="12404819" y="4279450"/>
            <a:ext cx="45719" cy="163286"/>
          </a:xfrm>
          <a:prstGeom prst="downArrow">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74" name="Group 1273"/>
          <xdr:cNvGrpSpPr/>
        </xdr:nvGrpSpPr>
        <xdr:grpSpPr>
          <a:xfrm rot="16200000">
            <a:off x="12341678" y="4578803"/>
            <a:ext cx="170089" cy="115661"/>
            <a:chOff x="11549063" y="1904999"/>
            <a:chExt cx="214312" cy="198439"/>
          </a:xfrm>
        </xdr:grpSpPr>
        <xdr:cxnSp macro="">
          <xdr:nvCxnSpPr>
            <xdr:cNvPr id="1275" name="Straight Connector 1274"/>
            <xdr:cNvCxnSpPr/>
          </xdr:nvCxnSpPr>
          <xdr:spPr>
            <a:xfrm>
              <a:off x="11549063" y="1912937"/>
              <a:ext cx="214312" cy="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76" name="Straight Connector 1275"/>
            <xdr:cNvCxnSpPr/>
          </xdr:nvCxnSpPr>
          <xdr:spPr>
            <a:xfrm rot="5400000">
              <a:off x="11656220" y="2004218"/>
              <a:ext cx="198439" cy="1"/>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77" name="Straight Connector 1276"/>
            <xdr:cNvCxnSpPr/>
          </xdr:nvCxnSpPr>
          <xdr:spPr>
            <a:xfrm>
              <a:off x="11557000" y="2095500"/>
              <a:ext cx="200015" cy="1589"/>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9</xdr:col>
      <xdr:colOff>1340823</xdr:colOff>
      <xdr:row>60</xdr:row>
      <xdr:rowOff>29308</xdr:rowOff>
    </xdr:from>
    <xdr:to>
      <xdr:col>9</xdr:col>
      <xdr:colOff>1474173</xdr:colOff>
      <xdr:row>60</xdr:row>
      <xdr:rowOff>80108</xdr:rowOff>
    </xdr:to>
    <xdr:sp macro="" textlink="">
      <xdr:nvSpPr>
        <xdr:cNvPr id="1286" name="Pentagon 1285"/>
        <xdr:cNvSpPr/>
      </xdr:nvSpPr>
      <xdr:spPr>
        <a:xfrm>
          <a:off x="7444150" y="9788770"/>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8</xdr:col>
      <xdr:colOff>571499</xdr:colOff>
      <xdr:row>60</xdr:row>
      <xdr:rowOff>51291</xdr:rowOff>
    </xdr:from>
    <xdr:to>
      <xdr:col>9</xdr:col>
      <xdr:colOff>1334964</xdr:colOff>
      <xdr:row>60</xdr:row>
      <xdr:rowOff>51291</xdr:rowOff>
    </xdr:to>
    <xdr:cxnSp macro="">
      <xdr:nvCxnSpPr>
        <xdr:cNvPr id="1287" name="Straight Connector 1286"/>
        <xdr:cNvCxnSpPr/>
      </xdr:nvCxnSpPr>
      <xdr:spPr>
        <a:xfrm flipH="1">
          <a:off x="6066691" y="9810753"/>
          <a:ext cx="1371600" cy="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424961</xdr:colOff>
      <xdr:row>60</xdr:row>
      <xdr:rowOff>21980</xdr:rowOff>
    </xdr:from>
    <xdr:to>
      <xdr:col>8</xdr:col>
      <xdr:colOff>558311</xdr:colOff>
      <xdr:row>60</xdr:row>
      <xdr:rowOff>72780</xdr:rowOff>
    </xdr:to>
    <xdr:sp macro="" textlink="">
      <xdr:nvSpPr>
        <xdr:cNvPr id="1288" name="Pentagon 1287"/>
        <xdr:cNvSpPr/>
      </xdr:nvSpPr>
      <xdr:spPr>
        <a:xfrm rot="10800000">
          <a:off x="5920153" y="9781442"/>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8</xdr:col>
      <xdr:colOff>558311</xdr:colOff>
      <xdr:row>34</xdr:row>
      <xdr:rowOff>62508</xdr:rowOff>
    </xdr:from>
    <xdr:to>
      <xdr:col>10</xdr:col>
      <xdr:colOff>787173</xdr:colOff>
      <xdr:row>60</xdr:row>
      <xdr:rowOff>47380</xdr:rowOff>
    </xdr:to>
    <xdr:cxnSp macro="">
      <xdr:nvCxnSpPr>
        <xdr:cNvPr id="1331" name="Straight Arrow Connector 1330"/>
        <xdr:cNvCxnSpPr>
          <a:stCxn id="89" idx="1"/>
          <a:endCxn id="1288" idx="1"/>
        </xdr:cNvCxnSpPr>
      </xdr:nvCxnSpPr>
      <xdr:spPr>
        <a:xfrm flipH="1">
          <a:off x="6053503" y="5630970"/>
          <a:ext cx="2360997" cy="41758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1038841</xdr:colOff>
      <xdr:row>18</xdr:row>
      <xdr:rowOff>153865</xdr:rowOff>
    </xdr:from>
    <xdr:to>
      <xdr:col>10</xdr:col>
      <xdr:colOff>38355</xdr:colOff>
      <xdr:row>60</xdr:row>
      <xdr:rowOff>81389</xdr:rowOff>
    </xdr:to>
    <xdr:cxnSp macro="">
      <xdr:nvCxnSpPr>
        <xdr:cNvPr id="1335" name="Straight Arrow Connector 1334"/>
        <xdr:cNvCxnSpPr>
          <a:stCxn id="329" idx="2"/>
          <a:endCxn id="1272" idx="3"/>
        </xdr:cNvCxnSpPr>
      </xdr:nvCxnSpPr>
      <xdr:spPr>
        <a:xfrm>
          <a:off x="7142168" y="3143250"/>
          <a:ext cx="523514" cy="66976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124557</xdr:colOff>
      <xdr:row>53</xdr:row>
      <xdr:rowOff>21981</xdr:rowOff>
    </xdr:from>
    <xdr:to>
      <xdr:col>14</xdr:col>
      <xdr:colOff>257002</xdr:colOff>
      <xdr:row>54</xdr:row>
      <xdr:rowOff>95534</xdr:rowOff>
    </xdr:to>
    <xdr:grpSp>
      <xdr:nvGrpSpPr>
        <xdr:cNvPr id="1338" name="Group 1337"/>
        <xdr:cNvGrpSpPr/>
      </xdr:nvGrpSpPr>
      <xdr:grpSpPr>
        <a:xfrm>
          <a:off x="10640157" y="8689731"/>
          <a:ext cx="132445" cy="235478"/>
          <a:chOff x="3541190" y="4583497"/>
          <a:chExt cx="132445" cy="238933"/>
        </a:xfrm>
      </xdr:grpSpPr>
      <xdr:grpSp>
        <xdr:nvGrpSpPr>
          <xdr:cNvPr id="1339" name="Group 1338"/>
          <xdr:cNvGrpSpPr/>
        </xdr:nvGrpSpPr>
        <xdr:grpSpPr>
          <a:xfrm rot="16200000">
            <a:off x="3555508" y="4704303"/>
            <a:ext cx="109253" cy="127001"/>
            <a:chOff x="11549063" y="1904999"/>
            <a:chExt cx="214312" cy="198439"/>
          </a:xfrm>
        </xdr:grpSpPr>
        <xdr:cxnSp macro="">
          <xdr:nvCxnSpPr>
            <xdr:cNvPr id="1344" name="Straight Connector 1343"/>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45" name="Straight Connector 1344"/>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46" name="Straight Connector 1345"/>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1340" name="Group 1339"/>
          <xdr:cNvGrpSpPr/>
        </xdr:nvGrpSpPr>
        <xdr:grpSpPr>
          <a:xfrm rot="5400000">
            <a:off x="3550064" y="4574623"/>
            <a:ext cx="109253" cy="127001"/>
            <a:chOff x="11549063" y="1904999"/>
            <a:chExt cx="214312" cy="198439"/>
          </a:xfrm>
        </xdr:grpSpPr>
        <xdr:cxnSp macro="">
          <xdr:nvCxnSpPr>
            <xdr:cNvPr id="1341" name="Straight Connector 1340"/>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42" name="Straight Connector 1341"/>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43" name="Straight Connector 1342"/>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0</xdr:colOff>
      <xdr:row>53</xdr:row>
      <xdr:rowOff>0</xdr:rowOff>
    </xdr:from>
    <xdr:to>
      <xdr:col>19</xdr:col>
      <xdr:colOff>40204</xdr:colOff>
      <xdr:row>56</xdr:row>
      <xdr:rowOff>104776</xdr:rowOff>
    </xdr:to>
    <xdr:sp macro="" textlink="">
      <xdr:nvSpPr>
        <xdr:cNvPr id="1347" name="TextBox 1346"/>
        <xdr:cNvSpPr txBox="1"/>
      </xdr:nvSpPr>
      <xdr:spPr>
        <a:xfrm>
          <a:off x="11122269" y="8631115"/>
          <a:ext cx="2472743" cy="588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1/8" F/F NPT Brass Coupling. 1000psi @ 72F. 50785K91</a:t>
          </a:r>
        </a:p>
      </xdr:txBody>
    </xdr:sp>
    <xdr:clientData/>
  </xdr:twoCellAnchor>
  <xdr:twoCellAnchor>
    <xdr:from>
      <xdr:col>14</xdr:col>
      <xdr:colOff>189076</xdr:colOff>
      <xdr:row>54</xdr:row>
      <xdr:rowOff>34731</xdr:rowOff>
    </xdr:from>
    <xdr:to>
      <xdr:col>15</xdr:col>
      <xdr:colOff>0</xdr:colOff>
      <xdr:row>54</xdr:row>
      <xdr:rowOff>132984</xdr:rowOff>
    </xdr:to>
    <xdr:cxnSp macro="">
      <xdr:nvCxnSpPr>
        <xdr:cNvPr id="1348" name="Straight Arrow Connector 1347"/>
        <xdr:cNvCxnSpPr>
          <a:stCxn id="1347" idx="1"/>
          <a:endCxn id="1180" idx="3"/>
        </xdr:cNvCxnSpPr>
      </xdr:nvCxnSpPr>
      <xdr:spPr>
        <a:xfrm flipH="1" flipV="1">
          <a:off x="10703211" y="8827039"/>
          <a:ext cx="419058" cy="982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300403</xdr:colOff>
      <xdr:row>16</xdr:row>
      <xdr:rowOff>139211</xdr:rowOff>
    </xdr:from>
    <xdr:to>
      <xdr:col>6</xdr:col>
      <xdr:colOff>303833</xdr:colOff>
      <xdr:row>18</xdr:row>
      <xdr:rowOff>45426</xdr:rowOff>
    </xdr:to>
    <xdr:cxnSp macro="">
      <xdr:nvCxnSpPr>
        <xdr:cNvPr id="741" name="Straight Connector 740"/>
        <xdr:cNvCxnSpPr/>
      </xdr:nvCxnSpPr>
      <xdr:spPr>
        <a:xfrm flipV="1">
          <a:off x="4249615" y="2806211"/>
          <a:ext cx="3430" cy="228600"/>
        </a:xfrm>
        <a:prstGeom prst="line">
          <a:avLst/>
        </a:prstGeom>
        <a:ln w="6350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323874</xdr:colOff>
      <xdr:row>23</xdr:row>
      <xdr:rowOff>126573</xdr:rowOff>
    </xdr:from>
    <xdr:to>
      <xdr:col>6</xdr:col>
      <xdr:colOff>466351</xdr:colOff>
      <xdr:row>25</xdr:row>
      <xdr:rowOff>55461</xdr:rowOff>
    </xdr:to>
    <xdr:grpSp>
      <xdr:nvGrpSpPr>
        <xdr:cNvPr id="104" name="Group 103"/>
        <xdr:cNvGrpSpPr/>
      </xdr:nvGrpSpPr>
      <xdr:grpSpPr>
        <a:xfrm>
          <a:off x="4267224" y="3936573"/>
          <a:ext cx="142477" cy="252738"/>
          <a:chOff x="4273086" y="3921919"/>
          <a:chExt cx="142477" cy="251273"/>
        </a:xfrm>
      </xdr:grpSpPr>
      <xdr:sp macro="" textlink="">
        <xdr:nvSpPr>
          <xdr:cNvPr id="251" name="Pentagon 250"/>
          <xdr:cNvSpPr/>
        </xdr:nvSpPr>
        <xdr:spPr>
          <a:xfrm rot="5400000">
            <a:off x="4288612" y="4081825"/>
            <a:ext cx="120378" cy="62356"/>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250" name="Group 249"/>
          <xdr:cNvGrpSpPr/>
        </xdr:nvGrpSpPr>
        <xdr:grpSpPr>
          <a:xfrm rot="16200000">
            <a:off x="4284365" y="3910640"/>
            <a:ext cx="119919" cy="142477"/>
            <a:chOff x="3250407" y="1738312"/>
            <a:chExt cx="214312" cy="214312"/>
          </a:xfrm>
        </xdr:grpSpPr>
        <xdr:sp macro="" textlink="">
          <xdr:nvSpPr>
            <xdr:cNvPr id="256" name="Oval 255"/>
            <xdr:cNvSpPr/>
          </xdr:nvSpPr>
          <xdr:spPr>
            <a:xfrm>
              <a:off x="3250407" y="1738312"/>
              <a:ext cx="214312" cy="214312"/>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57" name="Straight Connector 256"/>
            <xdr:cNvCxnSpPr>
              <a:stCxn id="256" idx="1"/>
              <a:endCxn id="256" idx="5"/>
            </xdr:cNvCxnSpPr>
          </xdr:nvCxnSpPr>
          <xdr:spPr>
            <a:xfrm rot="16200000" flipH="1">
              <a:off x="3281792" y="1769697"/>
              <a:ext cx="151542" cy="151542"/>
            </a:xfrm>
            <a:prstGeom prst="line">
              <a:avLst/>
            </a:prstGeom>
            <a:ln w="2794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128406</xdr:colOff>
      <xdr:row>25</xdr:row>
      <xdr:rowOff>17546</xdr:rowOff>
    </xdr:from>
    <xdr:to>
      <xdr:col>6</xdr:col>
      <xdr:colOff>600289</xdr:colOff>
      <xdr:row>26</xdr:row>
      <xdr:rowOff>62190</xdr:rowOff>
    </xdr:to>
    <xdr:grpSp>
      <xdr:nvGrpSpPr>
        <xdr:cNvPr id="105" name="Group 104"/>
        <xdr:cNvGrpSpPr/>
      </xdr:nvGrpSpPr>
      <xdr:grpSpPr>
        <a:xfrm>
          <a:off x="4071756" y="4151396"/>
          <a:ext cx="471883" cy="206569"/>
          <a:chOff x="4077618" y="4135277"/>
          <a:chExt cx="471883" cy="205836"/>
        </a:xfrm>
      </xdr:grpSpPr>
      <xdr:sp macro="" textlink="">
        <xdr:nvSpPr>
          <xdr:cNvPr id="248" name="Pentagon 247"/>
          <xdr:cNvSpPr/>
        </xdr:nvSpPr>
        <xdr:spPr>
          <a:xfrm rot="10800000">
            <a:off x="4077618" y="4293564"/>
            <a:ext cx="128738" cy="34112"/>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249" name="Group 248"/>
          <xdr:cNvGrpSpPr/>
        </xdr:nvGrpSpPr>
        <xdr:grpSpPr>
          <a:xfrm>
            <a:off x="4176121" y="4220107"/>
            <a:ext cx="307645" cy="89019"/>
            <a:chOff x="4356988" y="4795137"/>
            <a:chExt cx="364191" cy="129848"/>
          </a:xfrm>
        </xdr:grpSpPr>
        <xdr:cxnSp macro="">
          <xdr:nvCxnSpPr>
            <xdr:cNvPr id="258" name="Straight Connector 257"/>
            <xdr:cNvCxnSpPr/>
          </xdr:nvCxnSpPr>
          <xdr:spPr>
            <a:xfrm rot="5400000">
              <a:off x="4508896" y="4843953"/>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259" name="Straight Connector 258"/>
            <xdr:cNvCxnSpPr/>
          </xdr:nvCxnSpPr>
          <xdr:spPr>
            <a:xfrm rot="10800000">
              <a:off x="4356988" y="4924985"/>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grpSp>
        <xdr:nvGrpSpPr>
          <xdr:cNvPr id="252" name="Group 251"/>
          <xdr:cNvGrpSpPr/>
        </xdr:nvGrpSpPr>
        <xdr:grpSpPr>
          <a:xfrm rot="10800000">
            <a:off x="4457736" y="4272861"/>
            <a:ext cx="91765" cy="68252"/>
            <a:chOff x="11549063" y="1904999"/>
            <a:chExt cx="214312" cy="198439"/>
          </a:xfrm>
        </xdr:grpSpPr>
        <xdr:cxnSp macro="">
          <xdr:nvCxnSpPr>
            <xdr:cNvPr id="253" name="Straight Connector 252"/>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54" name="Straight Connector 253"/>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255" name="Straight Connector 254"/>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743" name="Group 742"/>
          <xdr:cNvGrpSpPr/>
        </xdr:nvGrpSpPr>
        <xdr:grpSpPr>
          <a:xfrm rot="5400000">
            <a:off x="4293581" y="4147034"/>
            <a:ext cx="91765" cy="68252"/>
            <a:chOff x="11549063" y="1904999"/>
            <a:chExt cx="214312" cy="198439"/>
          </a:xfrm>
        </xdr:grpSpPr>
        <xdr:cxnSp macro="">
          <xdr:nvCxnSpPr>
            <xdr:cNvPr id="744" name="Straight Connector 743"/>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45" name="Straight Connector 744"/>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46" name="Straight Connector 745"/>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342769</xdr:colOff>
      <xdr:row>7</xdr:row>
      <xdr:rowOff>104976</xdr:rowOff>
    </xdr:from>
    <xdr:to>
      <xdr:col>4</xdr:col>
      <xdr:colOff>574230</xdr:colOff>
      <xdr:row>28</xdr:row>
      <xdr:rowOff>55402</xdr:rowOff>
    </xdr:to>
    <xdr:cxnSp macro="">
      <xdr:nvCxnSpPr>
        <xdr:cNvPr id="739" name="Straight Arrow Connector 738"/>
        <xdr:cNvCxnSpPr>
          <a:stCxn id="738" idx="2"/>
          <a:endCxn id="797" idx="2"/>
        </xdr:cNvCxnSpPr>
      </xdr:nvCxnSpPr>
      <xdr:spPr>
        <a:xfrm>
          <a:off x="2962144" y="1324176"/>
          <a:ext cx="231461" cy="33508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549520</xdr:colOff>
      <xdr:row>8</xdr:row>
      <xdr:rowOff>153865</xdr:rowOff>
    </xdr:from>
    <xdr:to>
      <xdr:col>6</xdr:col>
      <xdr:colOff>321235</xdr:colOff>
      <xdr:row>11</xdr:row>
      <xdr:rowOff>117230</xdr:rowOff>
    </xdr:to>
    <xdr:sp macro="" textlink="">
      <xdr:nvSpPr>
        <xdr:cNvPr id="841" name="TextBox 840"/>
        <xdr:cNvSpPr txBox="1"/>
      </xdr:nvSpPr>
      <xdr:spPr>
        <a:xfrm>
          <a:off x="1846385" y="1531327"/>
          <a:ext cx="2424062" cy="446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t>M/M 1/8" NPT brass nipple</a:t>
          </a:r>
          <a:r>
            <a:rPr lang="en-US" baseline="0"/>
            <a:t> 5485K21</a:t>
          </a:r>
          <a:endParaRPr lang="en-US"/>
        </a:p>
      </xdr:txBody>
    </xdr:sp>
    <xdr:clientData/>
  </xdr:twoCellAnchor>
  <xdr:twoCellAnchor>
    <xdr:from>
      <xdr:col>4</xdr:col>
      <xdr:colOff>575166</xdr:colOff>
      <xdr:row>24</xdr:row>
      <xdr:rowOff>13920</xdr:rowOff>
    </xdr:from>
    <xdr:to>
      <xdr:col>5</xdr:col>
      <xdr:colOff>323850</xdr:colOff>
      <xdr:row>26</xdr:row>
      <xdr:rowOff>69329</xdr:rowOff>
    </xdr:to>
    <xdr:grpSp>
      <xdr:nvGrpSpPr>
        <xdr:cNvPr id="24" name="Group 23"/>
        <xdr:cNvGrpSpPr/>
      </xdr:nvGrpSpPr>
      <xdr:grpSpPr>
        <a:xfrm>
          <a:off x="3194541" y="3985845"/>
          <a:ext cx="482109" cy="379259"/>
          <a:chOff x="3194541" y="3985845"/>
          <a:chExt cx="482109" cy="379259"/>
        </a:xfrm>
      </xdr:grpSpPr>
      <xdr:grpSp>
        <xdr:nvGrpSpPr>
          <xdr:cNvPr id="14" name="Group 13"/>
          <xdr:cNvGrpSpPr/>
        </xdr:nvGrpSpPr>
        <xdr:grpSpPr>
          <a:xfrm>
            <a:off x="3194541" y="3985845"/>
            <a:ext cx="482109" cy="379259"/>
            <a:chOff x="3223116" y="5709870"/>
            <a:chExt cx="482109" cy="379259"/>
          </a:xfrm>
        </xdr:grpSpPr>
        <xdr:sp macro="" textlink="">
          <xdr:nvSpPr>
            <xdr:cNvPr id="821" name="Pentagon 820"/>
            <xdr:cNvSpPr/>
          </xdr:nvSpPr>
          <xdr:spPr>
            <a:xfrm rot="5400000">
              <a:off x="3407779" y="5869992"/>
              <a:ext cx="120611" cy="62664"/>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9" name="Group 8"/>
            <xdr:cNvGrpSpPr/>
          </xdr:nvGrpSpPr>
          <xdr:grpSpPr>
            <a:xfrm>
              <a:off x="3223116" y="5709870"/>
              <a:ext cx="482109" cy="379259"/>
              <a:chOff x="3223116" y="5709870"/>
              <a:chExt cx="482109" cy="379259"/>
            </a:xfrm>
          </xdr:grpSpPr>
          <xdr:grpSp>
            <xdr:nvGrpSpPr>
              <xdr:cNvPr id="820" name="Group 819"/>
              <xdr:cNvGrpSpPr/>
            </xdr:nvGrpSpPr>
            <xdr:grpSpPr>
              <a:xfrm rot="16200000">
                <a:off x="3403510" y="5698355"/>
                <a:ext cx="120151" cy="143182"/>
                <a:chOff x="3250407" y="1738312"/>
                <a:chExt cx="214312" cy="214312"/>
              </a:xfrm>
            </xdr:grpSpPr>
            <xdr:sp macro="" textlink="">
              <xdr:nvSpPr>
                <xdr:cNvPr id="826" name="Oval 825"/>
                <xdr:cNvSpPr/>
              </xdr:nvSpPr>
              <xdr:spPr>
                <a:xfrm>
                  <a:off x="3250407" y="1738312"/>
                  <a:ext cx="214312" cy="214312"/>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827" name="Straight Connector 826"/>
                <xdr:cNvCxnSpPr>
                  <a:stCxn id="826" idx="1"/>
                  <a:endCxn id="826" idx="5"/>
                </xdr:cNvCxnSpPr>
              </xdr:nvCxnSpPr>
              <xdr:spPr>
                <a:xfrm rot="16200000" flipH="1">
                  <a:off x="3281792" y="1769697"/>
                  <a:ext cx="151542" cy="151542"/>
                </a:xfrm>
                <a:prstGeom prst="line">
                  <a:avLst/>
                </a:prstGeom>
                <a:ln w="2794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864" name="Group 863"/>
              <xdr:cNvGrpSpPr/>
            </xdr:nvGrpSpPr>
            <xdr:grpSpPr>
              <a:xfrm>
                <a:off x="3223116" y="6016509"/>
                <a:ext cx="69449" cy="72620"/>
                <a:chOff x="11549063" y="1904999"/>
                <a:chExt cx="214312" cy="198439"/>
              </a:xfrm>
            </xdr:grpSpPr>
            <xdr:cxnSp macro="">
              <xdr:nvCxnSpPr>
                <xdr:cNvPr id="865" name="Straight Connector 864"/>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66" name="Straight Connector 865"/>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67" name="Straight Connector 866"/>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7" name="Group 6"/>
              <xdr:cNvGrpSpPr/>
            </xdr:nvGrpSpPr>
            <xdr:grpSpPr>
              <a:xfrm>
                <a:off x="3294550" y="5957247"/>
                <a:ext cx="410675" cy="122878"/>
                <a:chOff x="3294550" y="5957247"/>
                <a:chExt cx="410675" cy="122878"/>
              </a:xfrm>
            </xdr:grpSpPr>
            <xdr:grpSp>
              <xdr:nvGrpSpPr>
                <xdr:cNvPr id="819" name="Group 818"/>
                <xdr:cNvGrpSpPr/>
              </xdr:nvGrpSpPr>
              <xdr:grpSpPr>
                <a:xfrm>
                  <a:off x="3294550" y="5957247"/>
                  <a:ext cx="309166" cy="89191"/>
                  <a:chOff x="4356988" y="4795137"/>
                  <a:chExt cx="364191" cy="129848"/>
                </a:xfrm>
              </xdr:grpSpPr>
              <xdr:cxnSp macro="">
                <xdr:nvCxnSpPr>
                  <xdr:cNvPr id="828" name="Straight Connector 827"/>
                  <xdr:cNvCxnSpPr/>
                </xdr:nvCxnSpPr>
                <xdr:spPr>
                  <a:xfrm rot="5400000">
                    <a:off x="4508896" y="4843953"/>
                    <a:ext cx="97632"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cxnSp macro="">
                <xdr:nvCxnSpPr>
                  <xdr:cNvPr id="829" name="Straight Connector 828"/>
                  <xdr:cNvCxnSpPr/>
                </xdr:nvCxnSpPr>
                <xdr:spPr>
                  <a:xfrm rot="10800000">
                    <a:off x="4356988" y="4924985"/>
                    <a:ext cx="364191" cy="0"/>
                  </a:xfrm>
                  <a:prstGeom prst="line">
                    <a:avLst/>
                  </a:prstGeom>
                  <a:ln w="63500">
                    <a:solidFill>
                      <a:schemeClr val="accent3"/>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800" name="Pentagon 799"/>
                <xdr:cNvSpPr/>
              </xdr:nvSpPr>
              <xdr:spPr>
                <a:xfrm>
                  <a:off x="3571875" y="6029325"/>
                  <a:ext cx="133350" cy="50800"/>
                </a:xfrm>
                <a:prstGeom prst="homePlate">
                  <a:avLst/>
                </a:prstGeom>
                <a:solidFill>
                  <a:schemeClr val="bg2">
                    <a:lumMod val="7500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grpSp>
      </xdr:grpSp>
      <xdr:grpSp>
        <xdr:nvGrpSpPr>
          <xdr:cNvPr id="767" name="Group 766"/>
          <xdr:cNvGrpSpPr/>
        </xdr:nvGrpSpPr>
        <xdr:grpSpPr>
          <a:xfrm rot="5400000">
            <a:off x="3381514" y="4124188"/>
            <a:ext cx="107674" cy="127001"/>
            <a:chOff x="11549063" y="1904999"/>
            <a:chExt cx="214312" cy="198439"/>
          </a:xfrm>
        </xdr:grpSpPr>
        <xdr:cxnSp macro="">
          <xdr:nvCxnSpPr>
            <xdr:cNvPr id="768" name="Straight Connector 767"/>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69" name="Straight Connector 768"/>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771" name="Straight Connector 770"/>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510504</xdr:colOff>
      <xdr:row>23</xdr:row>
      <xdr:rowOff>87100</xdr:rowOff>
    </xdr:from>
    <xdr:to>
      <xdr:col>5</xdr:col>
      <xdr:colOff>55378</xdr:colOff>
      <xdr:row>25</xdr:row>
      <xdr:rowOff>27784</xdr:rowOff>
    </xdr:to>
    <xdr:cxnSp macro="">
      <xdr:nvCxnSpPr>
        <xdr:cNvPr id="806" name="Straight Arrow Connector 805"/>
        <xdr:cNvCxnSpPr>
          <a:stCxn id="333" idx="3"/>
          <a:endCxn id="821" idx="2"/>
        </xdr:cNvCxnSpPr>
      </xdr:nvCxnSpPr>
      <xdr:spPr>
        <a:xfrm>
          <a:off x="3129879" y="3897100"/>
          <a:ext cx="278299" cy="2645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447675</xdr:colOff>
      <xdr:row>33</xdr:row>
      <xdr:rowOff>9525</xdr:rowOff>
    </xdr:from>
    <xdr:to>
      <xdr:col>4</xdr:col>
      <xdr:colOff>580120</xdr:colOff>
      <xdr:row>34</xdr:row>
      <xdr:rowOff>83079</xdr:rowOff>
    </xdr:to>
    <xdr:grpSp>
      <xdr:nvGrpSpPr>
        <xdr:cNvPr id="807" name="Group 806"/>
        <xdr:cNvGrpSpPr/>
      </xdr:nvGrpSpPr>
      <xdr:grpSpPr>
        <a:xfrm>
          <a:off x="3067050" y="5438775"/>
          <a:ext cx="132445" cy="235479"/>
          <a:chOff x="3541190" y="4583497"/>
          <a:chExt cx="132445" cy="238933"/>
        </a:xfrm>
      </xdr:grpSpPr>
      <xdr:grpSp>
        <xdr:nvGrpSpPr>
          <xdr:cNvPr id="808" name="Group 807"/>
          <xdr:cNvGrpSpPr/>
        </xdr:nvGrpSpPr>
        <xdr:grpSpPr>
          <a:xfrm rot="16200000">
            <a:off x="3555508" y="4704303"/>
            <a:ext cx="109253" cy="127001"/>
            <a:chOff x="11549063" y="1904999"/>
            <a:chExt cx="214312" cy="198439"/>
          </a:xfrm>
        </xdr:grpSpPr>
        <xdr:cxnSp macro="">
          <xdr:nvCxnSpPr>
            <xdr:cNvPr id="830" name="Straight Connector 829"/>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31" name="Straight Connector 830"/>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33" name="Straight Connector 832"/>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815" name="Group 814"/>
          <xdr:cNvGrpSpPr/>
        </xdr:nvGrpSpPr>
        <xdr:grpSpPr>
          <a:xfrm rot="5400000">
            <a:off x="3550064" y="4574623"/>
            <a:ext cx="109253" cy="127001"/>
            <a:chOff x="11549063" y="1904999"/>
            <a:chExt cx="214312" cy="198439"/>
          </a:xfrm>
        </xdr:grpSpPr>
        <xdr:cxnSp macro="">
          <xdr:nvCxnSpPr>
            <xdr:cNvPr id="816" name="Straight Connector 815"/>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17" name="Straight Connector 816"/>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18" name="Straight Connector 817"/>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581025</xdr:colOff>
      <xdr:row>34</xdr:row>
      <xdr:rowOff>0</xdr:rowOff>
    </xdr:from>
    <xdr:to>
      <xdr:col>8</xdr:col>
      <xdr:colOff>447467</xdr:colOff>
      <xdr:row>39</xdr:row>
      <xdr:rowOff>160733</xdr:rowOff>
    </xdr:to>
    <xdr:cxnSp macro="">
      <xdr:nvCxnSpPr>
        <xdr:cNvPr id="837" name="Straight Arrow Connector 836"/>
        <xdr:cNvCxnSpPr>
          <a:stCxn id="783" idx="0"/>
        </xdr:cNvCxnSpPr>
      </xdr:nvCxnSpPr>
      <xdr:spPr>
        <a:xfrm flipH="1" flipV="1">
          <a:off x="3200400" y="5591175"/>
          <a:ext cx="2733467" cy="97035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424961</xdr:colOff>
      <xdr:row>42</xdr:row>
      <xdr:rowOff>127588</xdr:rowOff>
    </xdr:from>
    <xdr:to>
      <xdr:col>8</xdr:col>
      <xdr:colOff>447467</xdr:colOff>
      <xdr:row>60</xdr:row>
      <xdr:rowOff>47380</xdr:rowOff>
    </xdr:to>
    <xdr:cxnSp macro="">
      <xdr:nvCxnSpPr>
        <xdr:cNvPr id="838" name="Straight Arrow Connector 837"/>
        <xdr:cNvCxnSpPr>
          <a:stCxn id="783" idx="2"/>
          <a:endCxn id="1288" idx="3"/>
        </xdr:cNvCxnSpPr>
      </xdr:nvCxnSpPr>
      <xdr:spPr>
        <a:xfrm flipH="1">
          <a:off x="5911361" y="7014163"/>
          <a:ext cx="22506" cy="28344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179795</xdr:colOff>
      <xdr:row>59</xdr:row>
      <xdr:rowOff>123120</xdr:rowOff>
    </xdr:from>
    <xdr:to>
      <xdr:col>8</xdr:col>
      <xdr:colOff>498781</xdr:colOff>
      <xdr:row>60</xdr:row>
      <xdr:rowOff>123824</xdr:rowOff>
    </xdr:to>
    <xdr:grpSp>
      <xdr:nvGrpSpPr>
        <xdr:cNvPr id="118" name="Group 117"/>
        <xdr:cNvGrpSpPr/>
      </xdr:nvGrpSpPr>
      <xdr:grpSpPr>
        <a:xfrm>
          <a:off x="5666195" y="9762420"/>
          <a:ext cx="318986" cy="162629"/>
          <a:chOff x="5351870" y="9762420"/>
          <a:chExt cx="318986" cy="162629"/>
        </a:xfrm>
      </xdr:grpSpPr>
      <xdr:grpSp>
        <xdr:nvGrpSpPr>
          <xdr:cNvPr id="1312" name="Group 1311"/>
          <xdr:cNvGrpSpPr/>
        </xdr:nvGrpSpPr>
        <xdr:grpSpPr>
          <a:xfrm rot="10800000">
            <a:off x="5532845" y="9790996"/>
            <a:ext cx="138011" cy="97236"/>
            <a:chOff x="11549063" y="1904999"/>
            <a:chExt cx="214312" cy="198439"/>
          </a:xfrm>
        </xdr:grpSpPr>
        <xdr:cxnSp macro="">
          <xdr:nvCxnSpPr>
            <xdr:cNvPr id="1313" name="Straight Connector 1312"/>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14" name="Straight Connector 1313"/>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1315" name="Straight Connector 1314"/>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839" name="Group 838"/>
          <xdr:cNvGrpSpPr/>
        </xdr:nvGrpSpPr>
        <xdr:grpSpPr>
          <a:xfrm>
            <a:off x="5351870" y="9762420"/>
            <a:ext cx="191680" cy="162629"/>
            <a:chOff x="11549063" y="1904999"/>
            <a:chExt cx="214312" cy="198439"/>
          </a:xfrm>
        </xdr:grpSpPr>
        <xdr:cxnSp macro="">
          <xdr:nvCxnSpPr>
            <xdr:cNvPr id="840" name="Straight Connector 839"/>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43" name="Straight Connector 842"/>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44" name="Straight Connector 843"/>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428625</xdr:colOff>
      <xdr:row>50</xdr:row>
      <xdr:rowOff>85725</xdr:rowOff>
    </xdr:from>
    <xdr:to>
      <xdr:col>10</xdr:col>
      <xdr:colOff>561070</xdr:colOff>
      <xdr:row>51</xdr:row>
      <xdr:rowOff>159278</xdr:rowOff>
    </xdr:to>
    <xdr:grpSp>
      <xdr:nvGrpSpPr>
        <xdr:cNvPr id="845" name="Group 844"/>
        <xdr:cNvGrpSpPr/>
      </xdr:nvGrpSpPr>
      <xdr:grpSpPr>
        <a:xfrm>
          <a:off x="8048625" y="8267700"/>
          <a:ext cx="132445" cy="235478"/>
          <a:chOff x="3541190" y="4583497"/>
          <a:chExt cx="132445" cy="238933"/>
        </a:xfrm>
      </xdr:grpSpPr>
      <xdr:grpSp>
        <xdr:nvGrpSpPr>
          <xdr:cNvPr id="846" name="Group 845"/>
          <xdr:cNvGrpSpPr/>
        </xdr:nvGrpSpPr>
        <xdr:grpSpPr>
          <a:xfrm rot="16200000">
            <a:off x="3555508" y="4704303"/>
            <a:ext cx="109253" cy="127001"/>
            <a:chOff x="11549063" y="1904999"/>
            <a:chExt cx="214312" cy="198439"/>
          </a:xfrm>
        </xdr:grpSpPr>
        <xdr:cxnSp macro="">
          <xdr:nvCxnSpPr>
            <xdr:cNvPr id="862" name="Straight Connector 861"/>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63" name="Straight Connector 862"/>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69" name="Straight Connector 868"/>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nvGrpSpPr>
          <xdr:cNvPr id="847" name="Group 846"/>
          <xdr:cNvGrpSpPr/>
        </xdr:nvGrpSpPr>
        <xdr:grpSpPr>
          <a:xfrm rot="5400000">
            <a:off x="3550064" y="4574623"/>
            <a:ext cx="109253" cy="127001"/>
            <a:chOff x="11549063" y="1904999"/>
            <a:chExt cx="214312" cy="198439"/>
          </a:xfrm>
        </xdr:grpSpPr>
        <xdr:cxnSp macro="">
          <xdr:nvCxnSpPr>
            <xdr:cNvPr id="848" name="Straight Connector 847"/>
            <xdr:cNvCxnSpPr/>
          </xdr:nvCxnSpPr>
          <xdr:spPr>
            <a:xfrm>
              <a:off x="11549063" y="1912937"/>
              <a:ext cx="214312" cy="0"/>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49" name="Straight Connector 848"/>
            <xdr:cNvCxnSpPr/>
          </xdr:nvCxnSpPr>
          <xdr:spPr>
            <a:xfrm rot="5400000">
              <a:off x="11656220" y="2004218"/>
              <a:ext cx="198439" cy="1"/>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cxnSp macro="">
          <xdr:nvCxnSpPr>
            <xdr:cNvPr id="861" name="Straight Connector 860"/>
            <xdr:cNvCxnSpPr/>
          </xdr:nvCxnSpPr>
          <xdr:spPr>
            <a:xfrm>
              <a:off x="11557000" y="2095500"/>
              <a:ext cx="200015" cy="1589"/>
            </a:xfrm>
            <a:prstGeom prst="line">
              <a:avLst/>
            </a:prstGeom>
            <a:ln w="25400">
              <a:solidFill>
                <a:srgbClr val="FF99CC"/>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480149</xdr:colOff>
      <xdr:row>50</xdr:row>
      <xdr:rowOff>161183</xdr:rowOff>
    </xdr:from>
    <xdr:to>
      <xdr:col>15</xdr:col>
      <xdr:colOff>0</xdr:colOff>
      <xdr:row>54</xdr:row>
      <xdr:rowOff>133351</xdr:rowOff>
    </xdr:to>
    <xdr:cxnSp macro="">
      <xdr:nvCxnSpPr>
        <xdr:cNvPr id="870" name="Straight Arrow Connector 869"/>
        <xdr:cNvCxnSpPr>
          <a:stCxn id="1347" idx="1"/>
          <a:endCxn id="1262" idx="3"/>
        </xdr:cNvCxnSpPr>
      </xdr:nvCxnSpPr>
      <xdr:spPr>
        <a:xfrm flipH="1" flipV="1">
          <a:off x="8100149" y="8343158"/>
          <a:ext cx="3025051" cy="61986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V100"/>
  <sheetViews>
    <sheetView tabSelected="1" zoomScale="80" zoomScaleNormal="80" workbookViewId="0">
      <selection activeCell="D26" sqref="D26"/>
    </sheetView>
  </sheetViews>
  <sheetFormatPr defaultRowHeight="12.75" x14ac:dyDescent="0.2"/>
  <cols>
    <col min="1" max="1" width="4.42578125" customWidth="1"/>
    <col min="2" max="2" width="38.85546875" bestFit="1" customWidth="1"/>
    <col min="3" max="3" width="31.5703125" customWidth="1"/>
    <col min="4" max="4" width="25.7109375" customWidth="1"/>
    <col min="5" max="5" width="49.5703125" bestFit="1" customWidth="1"/>
    <col min="6" max="6" width="32.42578125" customWidth="1"/>
    <col min="7" max="7" width="35.85546875" customWidth="1"/>
    <col min="8" max="8" width="53.42578125" customWidth="1"/>
    <col min="9" max="9" width="18.28515625" customWidth="1"/>
    <col min="10" max="10" width="20.28515625" bestFit="1" customWidth="1"/>
    <col min="11" max="11" width="24.85546875" bestFit="1" customWidth="1"/>
    <col min="12" max="12" width="19.140625" bestFit="1" customWidth="1"/>
    <col min="13" max="13" width="22.28515625" bestFit="1" customWidth="1"/>
    <col min="14" max="14" width="23.42578125" bestFit="1" customWidth="1"/>
    <col min="15" max="15" width="25" bestFit="1" customWidth="1"/>
    <col min="16" max="16" width="24.140625" bestFit="1" customWidth="1"/>
    <col min="17" max="17" width="26.7109375" bestFit="1" customWidth="1"/>
    <col min="18" max="18" width="22.140625" bestFit="1" customWidth="1"/>
    <col min="19" max="19" width="33" bestFit="1" customWidth="1"/>
    <col min="21" max="21" width="9.140625" customWidth="1"/>
    <col min="22" max="22" width="8.140625" customWidth="1"/>
    <col min="23" max="24" width="13" bestFit="1" customWidth="1"/>
    <col min="25" max="25" width="10.85546875" bestFit="1" customWidth="1"/>
    <col min="26" max="26" width="13.85546875" bestFit="1" customWidth="1"/>
    <col min="27" max="27" width="2.140625" customWidth="1"/>
    <col min="29" max="29" width="26.7109375" bestFit="1" customWidth="1"/>
    <col min="30" max="30" width="22.140625" bestFit="1" customWidth="1"/>
    <col min="31" max="31" width="33" bestFit="1" customWidth="1"/>
    <col min="33" max="33" width="19.28515625" bestFit="1" customWidth="1"/>
    <col min="36" max="36" width="12.28515625" bestFit="1" customWidth="1"/>
    <col min="37" max="37" width="16.42578125" bestFit="1" customWidth="1"/>
    <col min="38" max="38" width="18.140625" bestFit="1" customWidth="1"/>
    <col min="39" max="39" width="18" bestFit="1" customWidth="1"/>
    <col min="40" max="41" width="19.28515625" bestFit="1" customWidth="1"/>
  </cols>
  <sheetData>
    <row r="1" spans="2:256" ht="13.5" thickBot="1" x14ac:dyDescent="0.25">
      <c r="C1" s="15"/>
    </row>
    <row r="2" spans="2:256" ht="18.75" thickBot="1" x14ac:dyDescent="0.3">
      <c r="C2" s="283" t="s">
        <v>10</v>
      </c>
      <c r="D2" s="284"/>
      <c r="E2" s="284"/>
      <c r="F2" s="284"/>
      <c r="G2" s="285"/>
      <c r="H2" s="26"/>
      <c r="AG2" s="289" t="s">
        <v>105</v>
      </c>
      <c r="AH2" s="290"/>
      <c r="AI2" s="290"/>
      <c r="AJ2" s="290"/>
    </row>
    <row r="3" spans="2:256" ht="15.75" thickBot="1" x14ac:dyDescent="0.3">
      <c r="J3" s="243">
        <f>0.7911*10^-4</f>
        <v>7.9110000000000007E-5</v>
      </c>
      <c r="K3">
        <f>0.5*0.5*20</f>
        <v>5</v>
      </c>
      <c r="L3">
        <f>K3/1000</f>
        <v>5.0000000000000001E-3</v>
      </c>
      <c r="AC3" s="286" t="s">
        <v>53</v>
      </c>
      <c r="AD3" s="287"/>
      <c r="AE3" s="288"/>
      <c r="AG3" s="6" t="s">
        <v>2</v>
      </c>
      <c r="AH3" s="6" t="s">
        <v>88</v>
      </c>
      <c r="AI3" s="6" t="s">
        <v>89</v>
      </c>
      <c r="AJ3" s="6" t="s">
        <v>104</v>
      </c>
      <c r="AK3" s="6" t="s">
        <v>106</v>
      </c>
      <c r="AL3" s="6" t="s">
        <v>202</v>
      </c>
      <c r="AM3" s="192" t="s">
        <v>203</v>
      </c>
      <c r="AN3" s="192" t="s">
        <v>204</v>
      </c>
      <c r="AO3" s="192" t="s">
        <v>205</v>
      </c>
      <c r="AP3" s="191"/>
      <c r="AQ3" s="191"/>
    </row>
    <row r="4" spans="2:256" ht="12.75" customHeight="1" x14ac:dyDescent="0.2">
      <c r="B4" s="291" t="s">
        <v>200</v>
      </c>
      <c r="C4" s="292"/>
      <c r="D4" s="292"/>
      <c r="E4" s="292"/>
      <c r="F4" s="292"/>
      <c r="G4" s="293"/>
      <c r="AC4" s="76" t="s">
        <v>54</v>
      </c>
      <c r="AD4" s="77" t="s">
        <v>55</v>
      </c>
      <c r="AE4" s="78" t="s">
        <v>56</v>
      </c>
      <c r="AG4">
        <v>0</v>
      </c>
      <c r="AH4" s="92">
        <f>C34+AI4</f>
        <v>1.5777481433427645</v>
      </c>
      <c r="AI4" s="94">
        <f>AG4+C62+I23+I49</f>
        <v>0.15855290845364381</v>
      </c>
      <c r="AJ4" s="93">
        <f>AM4+C62</f>
        <v>1.7363010517964084</v>
      </c>
      <c r="AK4" s="94">
        <f>AI4-C62</f>
        <v>6.012771170364381E-2</v>
      </c>
      <c r="AL4" s="92">
        <f>$I$23+AH4</f>
        <v>1.6269607417679612</v>
      </c>
      <c r="AM4" s="92">
        <f>$I$23+$I$49+AH4</f>
        <v>1.6378758550464083</v>
      </c>
      <c r="AN4" s="92">
        <f>AI4-$I$23</f>
        <v>0.10934031002844696</v>
      </c>
      <c r="AO4" s="252">
        <f>AI4-$I$23-$I$49</f>
        <v>9.8425196749999999E-2</v>
      </c>
      <c r="AP4" s="15"/>
      <c r="AQ4" s="15"/>
    </row>
    <row r="5" spans="2:256" ht="15" x14ac:dyDescent="0.2">
      <c r="B5" s="294"/>
      <c r="C5" s="295"/>
      <c r="D5" s="295"/>
      <c r="E5" s="295"/>
      <c r="F5" s="295"/>
      <c r="G5" s="296"/>
      <c r="H5" s="42"/>
      <c r="I5" s="42"/>
      <c r="J5" s="42"/>
      <c r="K5" s="42">
        <f>0.00003</f>
        <v>3.0000000000000001E-5</v>
      </c>
      <c r="L5" s="42">
        <f>K5/24</f>
        <v>1.2500000000000001E-6</v>
      </c>
      <c r="M5">
        <v>4.9667999999999997E-2</v>
      </c>
      <c r="AC5" s="9">
        <v>250</v>
      </c>
      <c r="AD5" s="8">
        <f t="shared" ref="AD5:AD26" si="0">$F$18*(EXP(AC5/$C$23)-1)</f>
        <v>1.0371767532309999</v>
      </c>
      <c r="AE5" s="79"/>
      <c r="AG5" s="92">
        <f>C36+AG4</f>
        <v>3.9999999959200001</v>
      </c>
      <c r="AH5" s="92">
        <f>AH4</f>
        <v>1.5777481433427645</v>
      </c>
      <c r="AI5">
        <f>AI4</f>
        <v>0.15855290845364381</v>
      </c>
      <c r="AJ5" s="93"/>
      <c r="AL5" s="92">
        <f>$I$23+AH5</f>
        <v>1.6269607417679612</v>
      </c>
      <c r="AM5" s="92">
        <f>$I$23+$I$49+AH5</f>
        <v>1.6378758550464083</v>
      </c>
      <c r="AN5" s="92">
        <f>AI5-$I$23</f>
        <v>0.10934031002844696</v>
      </c>
      <c r="AO5" s="92">
        <f>AI5-$I$23-$I$49</f>
        <v>9.8425196749999999E-2</v>
      </c>
    </row>
    <row r="6" spans="2:256" ht="13.5" thickBot="1" x14ac:dyDescent="0.25">
      <c r="B6" s="297"/>
      <c r="C6" s="298"/>
      <c r="D6" s="298"/>
      <c r="E6" s="298"/>
      <c r="F6" s="298"/>
      <c r="G6" s="299"/>
      <c r="K6">
        <f>(C8*C10)/(C8-1)</f>
        <v>2388.9415920866695</v>
      </c>
      <c r="M6">
        <f>3/64</f>
        <v>4.6875E-2</v>
      </c>
      <c r="AC6" s="9">
        <v>500</v>
      </c>
      <c r="AD6" s="8">
        <f t="shared" si="0"/>
        <v>2.2088204586423483</v>
      </c>
      <c r="AE6" s="25">
        <f t="shared" ref="AE6:AE26" si="1">AD6-AD5</f>
        <v>1.1716437054113484</v>
      </c>
      <c r="AG6" s="92">
        <f>AG5+C39</f>
        <v>4.2424326089649789</v>
      </c>
      <c r="AH6">
        <f>AH5-(C39*TAN(RADIANS(C37)))</f>
        <v>1.1578425401371761</v>
      </c>
      <c r="AI6">
        <f>AI5+(C39*TAN(RADIANS(C37)))</f>
        <v>0.57845851165923212</v>
      </c>
      <c r="AJ6" s="15"/>
      <c r="AL6" s="92">
        <f>$I$23+AH6</f>
        <v>1.2070551385623729</v>
      </c>
      <c r="AM6" s="92">
        <f>$I$23+$I$49+AH6</f>
        <v>1.21797025184082</v>
      </c>
      <c r="AN6" s="92">
        <f>AI6-$I$23</f>
        <v>0.52924591323403525</v>
      </c>
      <c r="AO6" s="92">
        <f>AI6-$I$23-$I$49</f>
        <v>0.51833079995558828</v>
      </c>
    </row>
    <row r="7" spans="2:256" ht="13.5" thickBot="1" x14ac:dyDescent="0.25">
      <c r="G7">
        <f>F26*1000</f>
        <v>54.513719195039762</v>
      </c>
      <c r="AC7" s="9">
        <v>750</v>
      </c>
      <c r="AD7" s="8">
        <f t="shared" si="0"/>
        <v>3.5323643658439572</v>
      </c>
      <c r="AE7" s="25">
        <f t="shared" si="1"/>
        <v>1.3235439072016089</v>
      </c>
      <c r="AG7" s="92">
        <f>AG6+C51</f>
        <v>4.2736826089331039</v>
      </c>
      <c r="AH7">
        <f>AH6</f>
        <v>1.1578425401371761</v>
      </c>
      <c r="AI7">
        <f>AI6</f>
        <v>0.57845851165923212</v>
      </c>
      <c r="AJ7" s="15"/>
      <c r="AL7" s="92">
        <f>$I$23+AH7</f>
        <v>1.2070551385623729</v>
      </c>
      <c r="AM7" s="92">
        <f>$I$23+$I$49+AH7</f>
        <v>1.21797025184082</v>
      </c>
      <c r="AN7" s="92">
        <f>AI7-$I$23</f>
        <v>0.52924591323403525</v>
      </c>
      <c r="AO7" s="92">
        <f>AI7-$I$23-$I$49</f>
        <v>0.51833079995558828</v>
      </c>
      <c r="AP7" s="92"/>
      <c r="AQ7" s="94"/>
    </row>
    <row r="8" spans="2:256" ht="15.75" x14ac:dyDescent="0.3">
      <c r="B8" s="132" t="s">
        <v>193</v>
      </c>
      <c r="C8" s="2">
        <v>1.22</v>
      </c>
      <c r="D8" s="3"/>
      <c r="E8" s="14" t="s">
        <v>4</v>
      </c>
      <c r="F8" s="166">
        <v>0</v>
      </c>
      <c r="G8" s="12" t="s">
        <v>13</v>
      </c>
      <c r="H8" s="213" t="s">
        <v>164</v>
      </c>
      <c r="I8" s="214">
        <v>1</v>
      </c>
      <c r="K8">
        <f>(I16*I18)/(I21/1000)</f>
        <v>1.8898916934997642E-3</v>
      </c>
      <c r="Q8" s="14" t="s">
        <v>67</v>
      </c>
      <c r="R8" s="40">
        <v>0</v>
      </c>
      <c r="S8" s="17" t="s">
        <v>68</v>
      </c>
      <c r="AC8" s="9">
        <v>1000</v>
      </c>
      <c r="AD8" s="8">
        <f t="shared" si="0"/>
        <v>5.0275018945993217</v>
      </c>
      <c r="AE8" s="25">
        <f t="shared" si="1"/>
        <v>1.4951375287553645</v>
      </c>
      <c r="AG8" s="92">
        <f>AG7+C58</f>
        <v>4.8135744731061214</v>
      </c>
      <c r="AH8">
        <f>AH7+(C58*TAN(RADIANS(C56)))</f>
        <v>1.3025061291424695</v>
      </c>
      <c r="AI8">
        <f>AI7-(C58*TAN(RADIANS(C56)))</f>
        <v>0.43379492265393865</v>
      </c>
      <c r="AJ8" s="93">
        <f>AJ4</f>
        <v>1.7363010517964084</v>
      </c>
      <c r="AK8" s="95">
        <f>AK4</f>
        <v>6.012771170364381E-2</v>
      </c>
      <c r="AL8" s="92">
        <f>$I$23+AH8</f>
        <v>1.3517187275676663</v>
      </c>
      <c r="AM8" s="92">
        <f>$I$23+$I$49+AH8</f>
        <v>1.3626338408461134</v>
      </c>
      <c r="AN8" s="92">
        <f>AI8-$I$23</f>
        <v>0.38458232422874178</v>
      </c>
      <c r="AO8" s="92">
        <f>AI8-$I$23-$I$49</f>
        <v>0.37366721095029481</v>
      </c>
      <c r="AP8" s="15"/>
    </row>
    <row r="9" spans="2:256" ht="15.75" x14ac:dyDescent="0.3">
      <c r="B9" s="125" t="s">
        <v>184</v>
      </c>
      <c r="C9" s="167">
        <v>19.3</v>
      </c>
      <c r="E9" s="48" t="s">
        <v>46</v>
      </c>
      <c r="F9" s="63">
        <v>1</v>
      </c>
      <c r="G9" s="12" t="s">
        <v>13</v>
      </c>
      <c r="H9" s="215" t="s">
        <v>163</v>
      </c>
      <c r="I9" s="227">
        <f>IF(ISBLANK(I8),C11*(9/5),(C11*(9/5))*I8^2)</f>
        <v>4629.6000000000004</v>
      </c>
      <c r="J9" s="106" t="s">
        <v>147</v>
      </c>
      <c r="K9">
        <f>I27*144*60*60*3.1525/1000</f>
        <v>1.3517774484222078</v>
      </c>
      <c r="L9">
        <f>J27*144*60*60*3.1525/1000</f>
        <v>6.599380459544979</v>
      </c>
      <c r="M9">
        <f>K27*144*60*60*3.1525/1000</f>
        <v>3.020593444204605</v>
      </c>
      <c r="Q9" s="14" t="s">
        <v>69</v>
      </c>
      <c r="R9" s="40">
        <v>90</v>
      </c>
      <c r="S9" s="17" t="s">
        <v>68</v>
      </c>
      <c r="AC9" s="9">
        <v>1250</v>
      </c>
      <c r="AD9" s="8">
        <f t="shared" si="0"/>
        <v>6.7164796593182228</v>
      </c>
      <c r="AE9" s="25">
        <f t="shared" si="1"/>
        <v>1.688977764718901</v>
      </c>
      <c r="AG9" s="92"/>
      <c r="IU9" t="str">
        <f>"J"&amp;(ROUNDUP($F$23,0)+52)</f>
        <v>J54</v>
      </c>
      <c r="IV9" t="str">
        <f>"K"&amp;(ROUNDUP($F$23,0)+52)</f>
        <v>K54</v>
      </c>
    </row>
    <row r="10" spans="2:256" ht="15.75" x14ac:dyDescent="0.3">
      <c r="B10" s="107" t="s">
        <v>182</v>
      </c>
      <c r="C10" s="18">
        <f>8314.3/C9</f>
        <v>430.79274611398961</v>
      </c>
      <c r="D10" s="45" t="s">
        <v>19</v>
      </c>
      <c r="E10" s="14" t="s">
        <v>5</v>
      </c>
      <c r="F10" s="40">
        <v>0</v>
      </c>
      <c r="G10" s="17" t="s">
        <v>14</v>
      </c>
      <c r="H10" s="239" t="s">
        <v>163</v>
      </c>
      <c r="I10" s="240">
        <f>I9/1.8</f>
        <v>2572</v>
      </c>
      <c r="J10" s="7" t="s">
        <v>190</v>
      </c>
      <c r="K10" s="247">
        <f>((0.026/$C$48^0.2)*(($I$18^0.2*$I$16)/($I$12^0.6))*((($C$13*10^6)/($C$24))^0.8)*(($C48/($C$48/2))^0.1))*(1^0.9)*J26</f>
        <v>7.2361271005562147</v>
      </c>
      <c r="Q10" s="19" t="s">
        <v>70</v>
      </c>
      <c r="R10" s="61">
        <f>(R9/((ROUNDUP(F23,0)/2)^2))*-1</f>
        <v>-90</v>
      </c>
      <c r="S10" s="17"/>
      <c r="AC10" s="9">
        <v>1500</v>
      </c>
      <c r="AD10" s="8">
        <f t="shared" si="0"/>
        <v>8.6244284833234381</v>
      </c>
      <c r="AE10" s="25">
        <f t="shared" si="1"/>
        <v>1.9079488240052154</v>
      </c>
      <c r="IU10" t="str">
        <f>"H"&amp;(ROUNDUP($F$23,0)+52)</f>
        <v>H54</v>
      </c>
    </row>
    <row r="11" spans="2:256" ht="15.75" x14ac:dyDescent="0.3">
      <c r="B11" s="110" t="s">
        <v>194</v>
      </c>
      <c r="C11" s="110">
        <v>2572</v>
      </c>
      <c r="D11" s="12" t="s">
        <v>18</v>
      </c>
      <c r="E11" s="48" t="s">
        <v>38</v>
      </c>
      <c r="F11" s="125">
        <v>2.85</v>
      </c>
      <c r="G11" s="17" t="s">
        <v>36</v>
      </c>
      <c r="H11" s="249" t="s">
        <v>260</v>
      </c>
      <c r="I11" s="219">
        <v>0.29509999999999997</v>
      </c>
      <c r="J11" s="7" t="s">
        <v>261</v>
      </c>
      <c r="L11">
        <f>L12/1000</f>
        <v>3.1524999999999999E-3</v>
      </c>
      <c r="M11" s="106" t="s">
        <v>257</v>
      </c>
      <c r="N11">
        <f>N12/1000</f>
        <v>22690.376172053075</v>
      </c>
      <c r="O11">
        <f>N15*144*60*60*3.1525/1000</f>
        <v>22690.376172053075</v>
      </c>
      <c r="Q11" s="19" t="s">
        <v>71</v>
      </c>
      <c r="R11" s="61">
        <f>ABS(R10)*ROUNDUP(F23,0)</f>
        <v>180</v>
      </c>
      <c r="S11" s="17"/>
      <c r="AC11" s="9">
        <v>1750</v>
      </c>
      <c r="AD11" s="8">
        <f t="shared" si="0"/>
        <v>10.779737328155232</v>
      </c>
      <c r="AE11" s="25">
        <f t="shared" si="1"/>
        <v>2.1553088448317936</v>
      </c>
      <c r="AI11">
        <f>AH4/2</f>
        <v>0.78887407167138224</v>
      </c>
      <c r="AJ11">
        <f>AJ4/2</f>
        <v>0.86815052589820418</v>
      </c>
      <c r="AK11">
        <f>1+3/8</f>
        <v>1.375</v>
      </c>
      <c r="AL11">
        <f>(AL4+AM4)/2/2</f>
        <v>0.81620914920359233</v>
      </c>
    </row>
    <row r="12" spans="2:256" ht="15.75" x14ac:dyDescent="0.3">
      <c r="B12" s="125" t="s">
        <v>195</v>
      </c>
      <c r="C12" s="2">
        <v>150</v>
      </c>
      <c r="D12" s="106" t="s">
        <v>292</v>
      </c>
      <c r="E12" s="53" t="s">
        <v>37</v>
      </c>
      <c r="F12" s="69">
        <f>F18*(F11*9.8066)</f>
        <v>223.59047999999999</v>
      </c>
      <c r="G12" s="60" t="s">
        <v>40</v>
      </c>
      <c r="H12" s="220" t="s">
        <v>165</v>
      </c>
      <c r="I12" s="208">
        <f>((I16*1000)*I18)/I11</f>
        <v>0.6404241590985309</v>
      </c>
      <c r="J12" s="7" t="s">
        <v>166</v>
      </c>
      <c r="K12" s="106">
        <f>$I$10*(1+$I$12^0.33*(($C$8-1)/2)*J25)/(1+(($C$8-1)/2)*J25)</f>
        <v>2537.1436289822036</v>
      </c>
      <c r="L12">
        <f>L13*3.1525</f>
        <v>3.1524999999999999</v>
      </c>
      <c r="M12" s="106" t="s">
        <v>256</v>
      </c>
      <c r="N12">
        <f>N13*3.1525</f>
        <v>22690376.172053076</v>
      </c>
      <c r="AC12" s="9">
        <v>2000</v>
      </c>
      <c r="AD12" s="8">
        <f t="shared" si="0"/>
        <v>13.214475701723611</v>
      </c>
      <c r="AE12" s="25">
        <f t="shared" si="1"/>
        <v>2.4347383735683792</v>
      </c>
      <c r="AI12">
        <f>CONVERT(AI11,"in","mm")</f>
        <v>20.037401420453108</v>
      </c>
      <c r="AK12">
        <f>AK11-AJ11</f>
        <v>0.50684947410179582</v>
      </c>
    </row>
    <row r="13" spans="2:256" ht="15.75" x14ac:dyDescent="0.3">
      <c r="B13" s="19" t="s">
        <v>21</v>
      </c>
      <c r="C13" s="18">
        <f>C12*0.00689475729</f>
        <v>1.0342135935000001</v>
      </c>
      <c r="D13" s="13" t="s">
        <v>22</v>
      </c>
      <c r="E13" s="90" t="s">
        <v>37</v>
      </c>
      <c r="F13" s="104">
        <f>0.22481*F12</f>
        <v>50.265375808800002</v>
      </c>
      <c r="G13" s="60" t="s">
        <v>117</v>
      </c>
      <c r="H13" s="217" t="s">
        <v>173</v>
      </c>
      <c r="I13" s="218">
        <v>627</v>
      </c>
      <c r="J13" s="7" t="s">
        <v>190</v>
      </c>
      <c r="L13" s="106">
        <v>1</v>
      </c>
      <c r="M13" s="106" t="s">
        <v>253</v>
      </c>
      <c r="N13">
        <f>N14*60*60</f>
        <v>7197581.6564799612</v>
      </c>
      <c r="AC13" s="9">
        <v>2250</v>
      </c>
      <c r="AD13" s="8">
        <f t="shared" si="0"/>
        <v>15.964870830450067</v>
      </c>
      <c r="AE13" s="25">
        <f t="shared" si="1"/>
        <v>2.7503951287264563</v>
      </c>
      <c r="AG13" s="92">
        <f>AG8-AG8</f>
        <v>0</v>
      </c>
      <c r="IU13">
        <v>0.12</v>
      </c>
      <c r="IV13">
        <f>IU13/2</f>
        <v>0.06</v>
      </c>
    </row>
    <row r="14" spans="2:256" ht="15.75" x14ac:dyDescent="0.3">
      <c r="B14" s="48" t="s">
        <v>20</v>
      </c>
      <c r="C14" s="2">
        <v>14.696</v>
      </c>
      <c r="D14" s="106" t="s">
        <v>292</v>
      </c>
      <c r="E14" s="49" t="s">
        <v>29</v>
      </c>
      <c r="F14" s="50">
        <v>3</v>
      </c>
      <c r="G14" s="17" t="s">
        <v>1</v>
      </c>
      <c r="H14" s="220" t="s">
        <v>173</v>
      </c>
      <c r="I14" s="229">
        <f>I13*1.8</f>
        <v>1128.6000000000001</v>
      </c>
      <c r="J14" s="7" t="s">
        <v>148</v>
      </c>
      <c r="K14" s="106">
        <f>144*60*60*3.1525</f>
        <v>1634256</v>
      </c>
      <c r="L14">
        <f>L13/(60*60)</f>
        <v>2.7777777777777778E-4</v>
      </c>
      <c r="M14" s="106" t="s">
        <v>254</v>
      </c>
      <c r="N14">
        <f>N15*144</f>
        <v>1999.3282379111004</v>
      </c>
      <c r="AC14" s="9">
        <v>2500</v>
      </c>
      <c r="AD14" s="8">
        <f t="shared" si="0"/>
        <v>19.071846695390875</v>
      </c>
      <c r="AE14" s="25">
        <f t="shared" si="1"/>
        <v>3.1069758649408072</v>
      </c>
      <c r="AG14" s="194">
        <f>AG8-AG6</f>
        <v>0.57114186414114254</v>
      </c>
      <c r="AJ14">
        <f>AH4*0.5</f>
        <v>0.78887407167138224</v>
      </c>
      <c r="AK14">
        <f>CONVERT(AJ14,"in","mm")</f>
        <v>20.037401420453108</v>
      </c>
    </row>
    <row r="15" spans="2:256" ht="15.75" x14ac:dyDescent="0.3">
      <c r="B15" s="19" t="s">
        <v>20</v>
      </c>
      <c r="C15" s="18">
        <f>C14*0.00689475729</f>
        <v>0.10132535313384</v>
      </c>
      <c r="D15" s="13" t="s">
        <v>22</v>
      </c>
      <c r="E15" s="51" t="s">
        <v>30</v>
      </c>
      <c r="F15" s="52">
        <f>F18*(EXP(F9/C23)-1)</f>
        <v>3.901920144421922E-3</v>
      </c>
      <c r="G15" s="17" t="s">
        <v>1</v>
      </c>
      <c r="H15" s="217" t="s">
        <v>172</v>
      </c>
      <c r="I15" s="219">
        <v>1</v>
      </c>
      <c r="J15" s="7"/>
      <c r="K15" s="106"/>
      <c r="M15" s="106" t="s">
        <v>255</v>
      </c>
      <c r="N15" s="193">
        <f>J31</f>
        <v>13.884223874382641</v>
      </c>
      <c r="AC15" s="9">
        <v>2750</v>
      </c>
      <c r="AD15" s="8">
        <f t="shared" si="0"/>
        <v>22.581632952827487</v>
      </c>
      <c r="AE15" s="25">
        <f t="shared" si="1"/>
        <v>3.5097862574366125</v>
      </c>
      <c r="AG15" s="92">
        <f>AG8-AG5</f>
        <v>0.8135744771861213</v>
      </c>
    </row>
    <row r="16" spans="2:256" ht="15.75" x14ac:dyDescent="0.3">
      <c r="B16" s="125" t="s">
        <v>122</v>
      </c>
      <c r="C16" s="2">
        <f>C14</f>
        <v>14.696</v>
      </c>
      <c r="D16" s="106" t="s">
        <v>292</v>
      </c>
      <c r="E16" s="48" t="s">
        <v>31</v>
      </c>
      <c r="F16" s="73">
        <v>5</v>
      </c>
      <c r="G16" s="17" t="s">
        <v>1</v>
      </c>
      <c r="H16" s="215" t="s">
        <v>206</v>
      </c>
      <c r="I16" s="198">
        <f>((C8*C10)/(C8-1))/1000</f>
        <v>2.3889415920866695</v>
      </c>
      <c r="J16" s="7" t="s">
        <v>258</v>
      </c>
      <c r="L16">
        <f>L14/144</f>
        <v>1.9290123456790124E-6</v>
      </c>
      <c r="O16" s="222"/>
      <c r="AC16" s="9">
        <v>3000</v>
      </c>
      <c r="AD16" s="8">
        <f t="shared" si="0"/>
        <v>26.546452799641955</v>
      </c>
      <c r="AE16" s="25">
        <f t="shared" si="1"/>
        <v>3.9648198468144678</v>
      </c>
      <c r="AG16" s="92">
        <f>AG8-AG4</f>
        <v>4.8135744731061214</v>
      </c>
    </row>
    <row r="17" spans="2:40" ht="15.75" x14ac:dyDescent="0.3">
      <c r="B17" s="107" t="s">
        <v>123</v>
      </c>
      <c r="C17" s="18">
        <f>C16*0.00689475729</f>
        <v>0.10132535313384</v>
      </c>
      <c r="D17" s="13" t="s">
        <v>22</v>
      </c>
      <c r="E17" s="19" t="s">
        <v>41</v>
      </c>
      <c r="F17" s="62">
        <f>F16+F15+F14</f>
        <v>8.0039019201444219</v>
      </c>
      <c r="G17" s="17" t="s">
        <v>1</v>
      </c>
      <c r="H17" s="239" t="s">
        <v>206</v>
      </c>
      <c r="I17" s="244">
        <f>(C8*(1544/C9))/((C8-1)*778)</f>
        <v>0.57022668847861657</v>
      </c>
      <c r="J17" s="7" t="s">
        <v>149</v>
      </c>
      <c r="K17">
        <f>((2085-1302)*6750)/1000</f>
        <v>5285.25</v>
      </c>
      <c r="M17" s="6"/>
      <c r="AC17" s="9">
        <v>3250</v>
      </c>
      <c r="AD17" s="8">
        <f t="shared" si="0"/>
        <v>31.02530001843953</v>
      </c>
      <c r="AE17" s="25">
        <f t="shared" si="1"/>
        <v>4.4788472187975756</v>
      </c>
    </row>
    <row r="18" spans="2:40" ht="15.75" x14ac:dyDescent="0.3">
      <c r="B18" s="19" t="s">
        <v>28</v>
      </c>
      <c r="C18" s="47">
        <f>C15/C13</f>
        <v>9.7973333333333329E-2</v>
      </c>
      <c r="D18" s="17"/>
      <c r="E18" s="19" t="s">
        <v>42</v>
      </c>
      <c r="F18" s="62">
        <f>F16+F14</f>
        <v>8</v>
      </c>
      <c r="G18" s="17" t="s">
        <v>1</v>
      </c>
      <c r="H18" s="217" t="s">
        <v>185</v>
      </c>
      <c r="I18" s="245">
        <f>0.7911*10^-4</f>
        <v>7.9110000000000007E-5</v>
      </c>
      <c r="J18" s="7" t="s">
        <v>259</v>
      </c>
      <c r="AC18" s="9">
        <v>3500</v>
      </c>
      <c r="AD18" s="8">
        <f t="shared" si="0"/>
        <v>36.084816764313381</v>
      </c>
      <c r="AE18" s="25">
        <f t="shared" si="1"/>
        <v>5.0595167458738501</v>
      </c>
    </row>
    <row r="19" spans="2:40" ht="29.25" customHeight="1" x14ac:dyDescent="0.3">
      <c r="B19" s="19" t="s">
        <v>27</v>
      </c>
      <c r="C19" s="61">
        <f>C11/C13</f>
        <v>2486.9137440901368</v>
      </c>
      <c r="D19" s="12"/>
      <c r="E19" s="53" t="s">
        <v>47</v>
      </c>
      <c r="F19" s="65">
        <f>F18/F17</f>
        <v>0.99951249775630036</v>
      </c>
      <c r="G19" s="17"/>
      <c r="H19" s="220" t="s">
        <v>185</v>
      </c>
      <c r="I19" s="246">
        <f>0.671949457*I18</f>
        <v>5.3157921543270004E-5</v>
      </c>
      <c r="J19" s="7" t="s">
        <v>167</v>
      </c>
      <c r="M19">
        <f>C61*1000</f>
        <v>2.5</v>
      </c>
      <c r="N19">
        <f>CONVERT(0.125,"in","mm")</f>
        <v>3.1749999999999998</v>
      </c>
      <c r="O19">
        <f>CONVERT((O22+0.8)*0.5,"mm","in")</f>
        <v>0.74995194887701111</v>
      </c>
      <c r="AC19" s="9">
        <v>3750</v>
      </c>
      <c r="AD19" s="8">
        <f t="shared" si="0"/>
        <v>41.800285154112636</v>
      </c>
      <c r="AE19" s="25">
        <f t="shared" si="1"/>
        <v>5.7154683897992555</v>
      </c>
    </row>
    <row r="20" spans="2:40" ht="15.75" x14ac:dyDescent="0.3">
      <c r="B20" s="19" t="s">
        <v>43</v>
      </c>
      <c r="C20" s="64">
        <f>(2/(C8+1))^(C8/(C8-1))</f>
        <v>0.56061340910014579</v>
      </c>
      <c r="D20" s="12"/>
      <c r="E20" s="53" t="s">
        <v>57</v>
      </c>
      <c r="F20" s="74">
        <f>F17/F18</f>
        <v>1.0004877400180527</v>
      </c>
      <c r="H20" s="220" t="s">
        <v>186</v>
      </c>
      <c r="I20" s="221">
        <f>I14/I9</f>
        <v>0.24377916018662521</v>
      </c>
      <c r="K20" s="106"/>
      <c r="L20">
        <f>(2575-1628)*5.898</f>
        <v>5585.4059999999999</v>
      </c>
      <c r="AC20" s="9">
        <v>4000</v>
      </c>
      <c r="AD20" s="8">
        <f t="shared" si="0"/>
        <v>48.256747412377692</v>
      </c>
      <c r="AE20" s="25">
        <f t="shared" si="1"/>
        <v>6.4564622582650557</v>
      </c>
    </row>
    <row r="21" spans="2:40" ht="15.75" x14ac:dyDescent="0.3">
      <c r="B21" s="19" t="s">
        <v>23</v>
      </c>
      <c r="C21" s="47">
        <f>C20*C13</f>
        <v>0.57979400838974737</v>
      </c>
      <c r="D21" s="13" t="s">
        <v>22</v>
      </c>
      <c r="E21" s="111" t="s">
        <v>120</v>
      </c>
      <c r="F21" s="81">
        <f>F12/C23</f>
        <v>0.10902743839007953</v>
      </c>
      <c r="G21" s="15" t="s">
        <v>15</v>
      </c>
      <c r="H21" s="217" t="s">
        <v>174</v>
      </c>
      <c r="I21" s="219">
        <v>100</v>
      </c>
      <c r="J21" s="106" t="s">
        <v>246</v>
      </c>
      <c r="K21">
        <f>J29/1.8</f>
        <v>2537.1436289822036</v>
      </c>
      <c r="M21" s="6" t="s">
        <v>152</v>
      </c>
      <c r="N21" s="6" t="s">
        <v>151</v>
      </c>
      <c r="O21" s="6" t="s">
        <v>150</v>
      </c>
      <c r="P21" s="6" t="s">
        <v>233</v>
      </c>
      <c r="AC21" s="9">
        <v>4250</v>
      </c>
      <c r="AD21" s="8">
        <f t="shared" si="0"/>
        <v>55.550271240940994</v>
      </c>
      <c r="AE21" s="25">
        <f t="shared" si="1"/>
        <v>7.2935238285633019</v>
      </c>
    </row>
    <row r="22" spans="2:40" ht="14.25" x14ac:dyDescent="0.2">
      <c r="B22" s="14" t="s">
        <v>58</v>
      </c>
      <c r="C22" s="80">
        <v>0</v>
      </c>
      <c r="D22" s="12"/>
      <c r="E22" s="20" t="s">
        <v>3</v>
      </c>
      <c r="F22" s="21">
        <f>F15/F17</f>
        <v>4.8750224369959746E-4</v>
      </c>
      <c r="H22" s="216" t="s">
        <v>174</v>
      </c>
      <c r="I22" s="44">
        <f>I21*0.001925964/144</f>
        <v>1.3374750000000001E-3</v>
      </c>
      <c r="J22" s="106" t="s">
        <v>154</v>
      </c>
      <c r="K22">
        <f>(K21-I13)*J28</f>
        <v>13822.042079632918</v>
      </c>
      <c r="M22" s="225">
        <f>(C54)*1000+CONVERT(I23,"in","mm")</f>
        <v>23.315264667315255</v>
      </c>
      <c r="N22" s="225">
        <f>(C48)*1000+CONVERT(I23,"in","mm")</f>
        <v>15.96635433835046</v>
      </c>
      <c r="O22" s="225">
        <f>(C33)*1000+CONVERT(I23,"in","mm")</f>
        <v>37.29755900295217</v>
      </c>
      <c r="P22" s="225">
        <f>O22</f>
        <v>37.29755900295217</v>
      </c>
      <c r="Q22" s="6" t="s">
        <v>220</v>
      </c>
      <c r="AC22" s="9">
        <v>4500</v>
      </c>
      <c r="AD22" s="8">
        <f t="shared" si="0"/>
        <v>63.789379240019557</v>
      </c>
      <c r="AE22" s="25">
        <f t="shared" si="1"/>
        <v>8.2391079990785627</v>
      </c>
    </row>
    <row r="23" spans="2:40" ht="16.5" thickBot="1" x14ac:dyDescent="0.25">
      <c r="B23" s="190" t="s">
        <v>26</v>
      </c>
      <c r="C23" s="173">
        <f>SQRT(((2*C8)/(C8-1))*C10*C11*(1-(C18)^((C8-1)/C8)))</f>
        <v>2050.772569745568</v>
      </c>
      <c r="D23" s="17" t="s">
        <v>13</v>
      </c>
      <c r="E23" s="51" t="s">
        <v>39</v>
      </c>
      <c r="F23" s="69">
        <v>2</v>
      </c>
      <c r="G23" s="17" t="s">
        <v>11</v>
      </c>
      <c r="H23" s="250" t="s">
        <v>183</v>
      </c>
      <c r="I23" s="251">
        <f>CONVERT(1.25,"mm","in")</f>
        <v>4.9212598425196853E-2</v>
      </c>
      <c r="J23" s="7" t="s">
        <v>115</v>
      </c>
      <c r="L23" s="1"/>
      <c r="M23" s="133">
        <f>M22*PI()</f>
        <v>73.247064195339277</v>
      </c>
      <c r="N23" s="133">
        <f>N22*PI()</f>
        <v>50.159781493973327</v>
      </c>
      <c r="O23" s="133">
        <f>O22*PI()</f>
        <v>117.17373736050638</v>
      </c>
      <c r="P23" s="133">
        <f>P22*PI()</f>
        <v>117.17373736050638</v>
      </c>
      <c r="Q23" s="6" t="s">
        <v>219</v>
      </c>
      <c r="AC23" s="9">
        <v>4750</v>
      </c>
      <c r="AD23" s="8">
        <f t="shared" si="0"/>
        <v>73.096663649598597</v>
      </c>
      <c r="AE23" s="25">
        <f t="shared" si="1"/>
        <v>9.3072844095790401</v>
      </c>
    </row>
    <row r="24" spans="2:40" ht="13.5" thickBot="1" x14ac:dyDescent="0.25">
      <c r="B24" s="107" t="s">
        <v>179</v>
      </c>
      <c r="C24" s="18">
        <f>((C13*101970*9.80665)*C46)/F21</f>
        <v>1613.4588068247219</v>
      </c>
      <c r="D24" s="106" t="s">
        <v>13</v>
      </c>
      <c r="E24" s="49" t="s">
        <v>35</v>
      </c>
      <c r="F24" s="50">
        <v>1</v>
      </c>
      <c r="H24" s="179"/>
      <c r="I24" s="180" t="s">
        <v>150</v>
      </c>
      <c r="J24" s="180" t="s">
        <v>151</v>
      </c>
      <c r="K24" s="181" t="s">
        <v>152</v>
      </c>
      <c r="L24" s="100"/>
      <c r="M24">
        <v>10</v>
      </c>
      <c r="N24">
        <f>M24</f>
        <v>10</v>
      </c>
      <c r="O24">
        <f>M24</f>
        <v>10</v>
      </c>
      <c r="P24">
        <f>N24</f>
        <v>10</v>
      </c>
      <c r="Q24" s="6" t="s">
        <v>216</v>
      </c>
      <c r="AC24" s="9">
        <v>5000</v>
      </c>
      <c r="AD24" s="8">
        <f t="shared" si="0"/>
        <v>83.610610437343226</v>
      </c>
      <c r="AE24" s="25">
        <f t="shared" si="1"/>
        <v>10.513946787744629</v>
      </c>
    </row>
    <row r="25" spans="2:40" ht="15.75" x14ac:dyDescent="0.3">
      <c r="B25" s="107" t="s">
        <v>201</v>
      </c>
      <c r="C25" s="18">
        <f>(SQRT(C8*C10*C11))/(C8*SQRT((2/(C8+1))^((C8+1)/(C8-1))))</f>
        <v>1613.4844604209004</v>
      </c>
      <c r="D25" s="102" t="s">
        <v>13</v>
      </c>
      <c r="E25" s="145" t="s">
        <v>199</v>
      </c>
      <c r="F25" s="147">
        <f>F21/(F24+1)</f>
        <v>5.4513719195039764E-2</v>
      </c>
      <c r="G25" s="15" t="s">
        <v>15</v>
      </c>
      <c r="H25" s="175" t="s">
        <v>168</v>
      </c>
      <c r="I25" s="176">
        <v>0</v>
      </c>
      <c r="J25" s="176">
        <v>1</v>
      </c>
      <c r="K25" s="177">
        <f>C23/SQRT((C8)*C10*C11)</f>
        <v>1.7638754330282558</v>
      </c>
      <c r="L25" s="1"/>
      <c r="M25">
        <f>360/M24</f>
        <v>36</v>
      </c>
      <c r="N25">
        <f>360/N24</f>
        <v>36</v>
      </c>
      <c r="O25">
        <f>360/O24</f>
        <v>36</v>
      </c>
      <c r="P25">
        <f>360/P24</f>
        <v>36</v>
      </c>
      <c r="Q25" s="6" t="s">
        <v>217</v>
      </c>
      <c r="AC25" s="9">
        <v>5250</v>
      </c>
      <c r="AD25" s="8">
        <f t="shared" si="0"/>
        <v>95.487659874207409</v>
      </c>
      <c r="AE25" s="25">
        <f t="shared" si="1"/>
        <v>11.877049436864183</v>
      </c>
      <c r="AJ25" s="15"/>
      <c r="AM25" s="15"/>
      <c r="AN25">
        <f>(90/25)*-1</f>
        <v>-3.6</v>
      </c>
    </row>
    <row r="26" spans="2:40" ht="27" x14ac:dyDescent="0.3">
      <c r="B26" s="164" t="s">
        <v>180</v>
      </c>
      <c r="C26" s="165">
        <f>C24/C25</f>
        <v>0.99998410049999997</v>
      </c>
      <c r="E26" s="59" t="s">
        <v>112</v>
      </c>
      <c r="F26" s="147">
        <f>(F21*F24)/(F24+1)</f>
        <v>5.4513719195039764E-2</v>
      </c>
      <c r="G26" s="15" t="s">
        <v>15</v>
      </c>
      <c r="H26" s="168" t="s">
        <v>170</v>
      </c>
      <c r="I26" s="197">
        <f>1/(((0.5*$I$20*(1+(($C$8-1)/2)*I25^2)+0.5)^0.68)*((1+(($C$8-1)/2)*I25^2)^0.12))</f>
        <v>1.3812585187119815</v>
      </c>
      <c r="J26" s="197">
        <f>1/(((0.5*$I$20*(1+(($C$8-1)/2)*J25^2)+0.5)^0.68)*((1+(($C$8-1)/2)*J25^2)^0.12))</f>
        <v>1.3444257245718314</v>
      </c>
      <c r="K26" s="198">
        <f>1/(((0.5*$I$20*(1+(($C$8-1)/2)*K25^2)+0.5)^0.68)*((1+(($C$8-1)/2)*K25^2)^0.12))</f>
        <v>1.2757393502459282</v>
      </c>
      <c r="M26" s="133">
        <f>M22*PI()*(M25/360)</f>
        <v>7.3247064195339284</v>
      </c>
      <c r="N26" s="133">
        <f>N22*PI()*(N25/360)</f>
        <v>5.0159781493973332</v>
      </c>
      <c r="O26" s="133">
        <f>O22*PI()*(O25/360)</f>
        <v>11.717373736050639</v>
      </c>
      <c r="P26" s="133">
        <f>P22*PI()*(P25/360)</f>
        <v>11.717373736050639</v>
      </c>
      <c r="Q26" s="6" t="s">
        <v>218</v>
      </c>
      <c r="AC26" s="9">
        <v>5500</v>
      </c>
      <c r="AD26" s="8">
        <f t="shared" si="0"/>
        <v>108.90453425768301</v>
      </c>
      <c r="AE26" s="25">
        <f t="shared" si="1"/>
        <v>13.416874383475601</v>
      </c>
      <c r="AH26" t="s">
        <v>289</v>
      </c>
      <c r="AJ26" s="15"/>
      <c r="AM26" s="15"/>
    </row>
    <row r="27" spans="2:40" ht="15.75" x14ac:dyDescent="0.3">
      <c r="B27" s="178" t="s">
        <v>196</v>
      </c>
      <c r="C27" s="52">
        <f>(((C8+1)/2)^(1/(C8-1)))*(C18^(1/C8))*(SQRT(((C8+1)/(C8-1))*(1-(C18^((C8-1)/C8)))))</f>
        <v>0.44481783316767004</v>
      </c>
      <c r="D27" s="17"/>
      <c r="E27" s="154" t="s">
        <v>144</v>
      </c>
      <c r="F27" s="155">
        <v>800</v>
      </c>
      <c r="G27" s="15" t="s">
        <v>109</v>
      </c>
      <c r="H27" s="169" t="s">
        <v>169</v>
      </c>
      <c r="I27" s="170">
        <f>((0.026/$C$49^0.2)*(($I$19^0.2*$I$17)/($I$12^0.6))*((($C$12*32.174)/($C$24*3.28084))^0.8)*(($C49/($C$49/2))^0.1))*((1/$C$30)^0.9)*I26</f>
        <v>8.2715158972780753E-4</v>
      </c>
      <c r="J27" s="170">
        <f>((0.026/$C$49^0.2)*(($I$19^0.2*$I$17)/($I$12^0.6))*((($C$12*32.174)/($C$24*3.28084))^0.8)*(($C49/($C$49/2))^0.1))*(1^0.9)*J26</f>
        <v>4.0381558700380961E-3</v>
      </c>
      <c r="K27" s="171">
        <f>((0.026/$C$49^0.2)*(($I$19^0.2*$I$17)/($I$12^0.6))*((($C$12*32.174)/($C$24*3.28084))^0.8)*(($C49/($C$49/2))^0.1))*(C27^0.9)*K26</f>
        <v>1.8482988247891428E-3</v>
      </c>
      <c r="L27" s="100" t="s">
        <v>153</v>
      </c>
      <c r="M27" s="133">
        <v>1</v>
      </c>
      <c r="N27" s="133">
        <f>M27</f>
        <v>1</v>
      </c>
      <c r="O27" s="133">
        <f>N27</f>
        <v>1</v>
      </c>
      <c r="P27" s="133">
        <f>O27</f>
        <v>1</v>
      </c>
      <c r="Q27" s="6" t="s">
        <v>229</v>
      </c>
      <c r="AC27" s="9"/>
      <c r="AD27" s="8"/>
      <c r="AE27" s="25"/>
      <c r="AG27">
        <v>0</v>
      </c>
      <c r="AH27">
        <v>110</v>
      </c>
      <c r="AI27" t="s">
        <v>2</v>
      </c>
      <c r="AJ27" s="15"/>
      <c r="AM27" s="15"/>
    </row>
    <row r="28" spans="2:40" ht="15.75" x14ac:dyDescent="0.3">
      <c r="B28" s="53" t="s">
        <v>24</v>
      </c>
      <c r="C28" s="52">
        <f>1/C27</f>
        <v>2.2481113063267388</v>
      </c>
      <c r="D28" s="17"/>
      <c r="E28" s="154" t="s">
        <v>145</v>
      </c>
      <c r="F28" s="156">
        <f>(F38*6894.75729)/(F36*((8314.4621)/F50)*F52)</f>
        <v>23.625320467084887</v>
      </c>
      <c r="G28" s="106" t="s">
        <v>109</v>
      </c>
      <c r="H28" s="196" t="s">
        <v>169</v>
      </c>
      <c r="I28" s="104">
        <f>((0.026/$C$48^0.2)*(($I$18^0.2*$I$16)/($I$12^0.6))*((($C$13*10^6)/($C$24))^0.8)*(($C48/($C$48/2))^0.1))*((1/$C$30)^0.9)*I26</f>
        <v>1.4822048051951688</v>
      </c>
      <c r="J28" s="104">
        <f>((0.026/$C$48^0.2)*(($I$18^0.2*$I$16)/($I$12^0.6))*((($C$13*10^6)/($C$24))^0.8)*(($C48/($C$48/2))^0.1))*(1^0.9)*J26</f>
        <v>7.2361271005562147</v>
      </c>
      <c r="K28" s="104">
        <f>((0.026/$C$48^0.2)*(($I$18^0.2*$I$16)/($I$12^0.6))*((($C$13*10^6)/($C$24))^0.8)*(($C48/($C$48/2))^0.1))*(C27^0.9)*K26</f>
        <v>3.3120378822466661</v>
      </c>
      <c r="L28" s="100" t="s">
        <v>244</v>
      </c>
      <c r="M28" s="7">
        <f>M24*9</f>
        <v>90</v>
      </c>
      <c r="N28" s="7">
        <f>N24*3</f>
        <v>30</v>
      </c>
      <c r="O28" s="7">
        <f>O24*14</f>
        <v>140</v>
      </c>
      <c r="P28" s="7">
        <f>P24*14</f>
        <v>140</v>
      </c>
      <c r="Q28" s="158" t="s">
        <v>230</v>
      </c>
      <c r="AC28" s="9"/>
      <c r="AD28" s="8"/>
      <c r="AE28" s="25"/>
      <c r="AG28">
        <v>2</v>
      </c>
      <c r="AH28">
        <v>109</v>
      </c>
      <c r="AJ28" s="15"/>
      <c r="AM28" s="15"/>
    </row>
    <row r="29" spans="2:40" ht="15.75" x14ac:dyDescent="0.3">
      <c r="B29" s="107" t="s">
        <v>121</v>
      </c>
      <c r="C29" s="163">
        <f>SQRT(((2*C8^2)/(C8-1))*(2/(C8+1))^((C8+1)/(C8-1)) * (1-(C18)^((C8-1)/C8)))+((C15-C17)/C13)*C28</f>
        <v>1.2710209611876861</v>
      </c>
      <c r="D29" s="135"/>
      <c r="E29" s="111" t="s">
        <v>143</v>
      </c>
      <c r="F29" s="112">
        <f>F25/F27</f>
        <v>6.8142148993799705E-5</v>
      </c>
      <c r="G29" s="102" t="s">
        <v>108</v>
      </c>
      <c r="H29" s="216" t="s">
        <v>171</v>
      </c>
      <c r="I29" s="108">
        <f>$I$9*(1+$I$12^0.33*(($C$8-1)/2)*I25)/(1+(($C$8-1)/2)*I25)</f>
        <v>4629.6000000000004</v>
      </c>
      <c r="J29" s="108">
        <f>$I$9*(1+$I$12^0.33*(($C$8-1)/2)*J25)/(1+(($C$8-1)/2)*J25)</f>
        <v>4566.8585321679666</v>
      </c>
      <c r="K29" s="108">
        <f>$I$9*(1+$I$12^0.33*(($C$8-1)/2)*K25)/(1+(($C$8-1)/2)*K25)</f>
        <v>4526.7198300271284</v>
      </c>
      <c r="L29" s="7" t="s">
        <v>148</v>
      </c>
      <c r="M29" s="226">
        <f>M22*PI()*(360/M28/360)</f>
        <v>0.81385626883710316</v>
      </c>
      <c r="N29" s="226">
        <f>N22*PI()*(360/N28/360)</f>
        <v>1.6719927164657775</v>
      </c>
      <c r="O29" s="226">
        <f>O22*PI()*(360/O28/360)</f>
        <v>0.83695526686075994</v>
      </c>
      <c r="P29" s="226">
        <f>P22*PI()*(360/P28/360)</f>
        <v>0.83695526686075994</v>
      </c>
      <c r="Q29" s="158" t="s">
        <v>231</v>
      </c>
      <c r="AC29" s="9"/>
      <c r="AD29" s="8"/>
      <c r="AE29" s="25"/>
      <c r="AG29">
        <v>4</v>
      </c>
      <c r="AH29">
        <v>108</v>
      </c>
      <c r="AJ29" s="15"/>
      <c r="AM29" s="15"/>
    </row>
    <row r="30" spans="2:40" ht="15.75" x14ac:dyDescent="0.3">
      <c r="B30" s="125" t="s">
        <v>92</v>
      </c>
      <c r="C30" s="88">
        <v>6</v>
      </c>
      <c r="E30" s="113" t="s">
        <v>143</v>
      </c>
      <c r="F30" s="114">
        <f>F29*264.172052*60</f>
        <v>1.0800750796429084</v>
      </c>
      <c r="G30" s="102" t="s">
        <v>111</v>
      </c>
      <c r="H30" s="220" t="s">
        <v>171</v>
      </c>
      <c r="I30" s="248">
        <f>$I$10*(1+$I$12^0.33*(($C$8-1)/2)*I25)/(1+(($C$8-1)/2)*I25)</f>
        <v>2572</v>
      </c>
      <c r="J30" s="248">
        <f>$I$10*(1+$I$12^0.33*(($C$8-1)/2)*J25)/(1+(($C$8-1)/2)*J25)</f>
        <v>2537.1436289822036</v>
      </c>
      <c r="K30" s="248">
        <f>$I$10*(1+$I$12^0.33*(($C$8-1)/2)*K25)/(1+(($C$8-1)/2)*K25)</f>
        <v>2514.8443500150706</v>
      </c>
      <c r="L30" s="7" t="s">
        <v>190</v>
      </c>
      <c r="M30">
        <f>M26/M29</f>
        <v>9</v>
      </c>
      <c r="N30">
        <f>N26/N29</f>
        <v>3.0000000000000004</v>
      </c>
      <c r="O30">
        <f>O26/O29</f>
        <v>14</v>
      </c>
      <c r="P30">
        <f>P26/P29</f>
        <v>14</v>
      </c>
      <c r="Q30" s="6" t="s">
        <v>232</v>
      </c>
      <c r="AC30" s="9"/>
      <c r="AD30" s="8"/>
      <c r="AE30" s="25"/>
      <c r="AG30">
        <v>6</v>
      </c>
      <c r="AH30">
        <v>107</v>
      </c>
      <c r="AJ30" s="15"/>
      <c r="AM30" s="15"/>
    </row>
    <row r="31" spans="2:40" ht="15.75" x14ac:dyDescent="0.3">
      <c r="B31" s="58" t="s">
        <v>90</v>
      </c>
      <c r="C31" s="82">
        <f>C46*C30</f>
        <v>1.0205671944799692E-3</v>
      </c>
      <c r="D31" s="17" t="s">
        <v>85</v>
      </c>
      <c r="E31" s="111" t="s">
        <v>207</v>
      </c>
      <c r="F31" s="112">
        <f>F26/F28</f>
        <v>2.3074277138796493E-3</v>
      </c>
      <c r="G31" s="102" t="s">
        <v>108</v>
      </c>
      <c r="H31" s="195" t="s">
        <v>209</v>
      </c>
      <c r="I31" s="199">
        <f>I27*($I$29-$I$14)</f>
        <v>2.895857715637054</v>
      </c>
      <c r="J31" s="199">
        <f>($J$29-$I$14)*J27</f>
        <v>13.884223874382641</v>
      </c>
      <c r="K31" s="200">
        <f>K27*($K$29-$I$14)</f>
        <v>6.2807408883318221</v>
      </c>
      <c r="L31" s="100" t="s">
        <v>251</v>
      </c>
      <c r="N31" s="159">
        <f>N33/N32-1</f>
        <v>0.27323954473516276</v>
      </c>
      <c r="AC31" s="9"/>
      <c r="AD31" s="8"/>
      <c r="AE31" s="25"/>
      <c r="AG31">
        <v>8</v>
      </c>
      <c r="AH31">
        <v>106</v>
      </c>
      <c r="AJ31" s="15"/>
      <c r="AM31" s="15"/>
    </row>
    <row r="32" spans="2:40" ht="15.75" x14ac:dyDescent="0.3">
      <c r="B32" s="83" t="s">
        <v>90</v>
      </c>
      <c r="C32" s="86">
        <f>C31*39.3700787^2</f>
        <v>1.5818823119815428</v>
      </c>
      <c r="D32" s="15" t="s">
        <v>86</v>
      </c>
      <c r="E32" s="113" t="s">
        <v>207</v>
      </c>
      <c r="F32" s="114">
        <f>F31*264.172052*60</f>
        <v>36.573474841035356</v>
      </c>
      <c r="G32" s="102" t="s">
        <v>111</v>
      </c>
      <c r="H32" s="196" t="s">
        <v>208</v>
      </c>
      <c r="I32" s="104">
        <f>(I30-$I$13)*I28</f>
        <v>2882.8883461046034</v>
      </c>
      <c r="J32" s="104">
        <f>(J30-$I$13)*J28</f>
        <v>13822.042079632918</v>
      </c>
      <c r="K32" s="104">
        <f>(K30-$I$13)*K28</f>
        <v>6252.6120030352486</v>
      </c>
      <c r="L32" s="100" t="s">
        <v>252</v>
      </c>
      <c r="N32">
        <f>PI()*2^2</f>
        <v>12.566370614359172</v>
      </c>
      <c r="O32" t="s">
        <v>247</v>
      </c>
      <c r="AC32" s="9"/>
      <c r="AD32" s="8"/>
      <c r="AE32" s="25"/>
      <c r="AG32">
        <v>10</v>
      </c>
      <c r="AH32">
        <v>105</v>
      </c>
      <c r="AI32" t="s">
        <v>2</v>
      </c>
      <c r="AJ32" s="15"/>
      <c r="AM32" s="15"/>
    </row>
    <row r="33" spans="2:40" ht="15.75" x14ac:dyDescent="0.3">
      <c r="B33" s="58" t="s">
        <v>91</v>
      </c>
      <c r="C33" s="82">
        <f>(SQRT(C31/PI()))*2</f>
        <v>3.6047559002952173E-2</v>
      </c>
      <c r="D33" s="15" t="s">
        <v>25</v>
      </c>
      <c r="E33" s="136" t="s">
        <v>129</v>
      </c>
      <c r="F33" s="141"/>
      <c r="G33" s="15"/>
      <c r="H33" s="172" t="s">
        <v>181</v>
      </c>
      <c r="I33" s="173">
        <f>$I$14-((I31*$I$23)/$I$22)</f>
        <v>1022.0464697611887</v>
      </c>
      <c r="J33" s="173">
        <f>$I$14-((J31*$I$23)/$I$22)</f>
        <v>617.72784614626551</v>
      </c>
      <c r="K33" s="205">
        <f>$I$14-((K31*$I$23)/$I$22)</f>
        <v>897.49917258252458</v>
      </c>
      <c r="L33" s="4" t="s">
        <v>148</v>
      </c>
      <c r="M33">
        <f>SQRT(N33)</f>
        <v>4</v>
      </c>
      <c r="N33">
        <f>4*4</f>
        <v>16</v>
      </c>
      <c r="O33" t="s">
        <v>248</v>
      </c>
      <c r="P33">
        <f>0.00003</f>
        <v>3.0000000000000001E-5</v>
      </c>
      <c r="Q33">
        <f>CONVERT(P33,"m","in")</f>
        <v>1.1811023622047244E-3</v>
      </c>
      <c r="AC33" s="9"/>
      <c r="AD33" s="8"/>
      <c r="AE33" s="25"/>
      <c r="AG33">
        <v>12</v>
      </c>
      <c r="AH33">
        <v>104</v>
      </c>
      <c r="AJ33" s="15"/>
      <c r="AM33" s="15"/>
    </row>
    <row r="34" spans="2:40" ht="15.75" x14ac:dyDescent="0.3">
      <c r="B34" s="83" t="s">
        <v>91</v>
      </c>
      <c r="C34" s="86">
        <f>C33*39.3700787</f>
        <v>1.4191952348891206</v>
      </c>
      <c r="D34" s="15" t="s">
        <v>84</v>
      </c>
      <c r="E34" s="136" t="s">
        <v>130</v>
      </c>
      <c r="F34" s="141">
        <v>1.41</v>
      </c>
      <c r="G34" s="15"/>
      <c r="H34" s="201" t="s">
        <v>181</v>
      </c>
      <c r="I34" s="204">
        <f>$I$13-((I32*CONVERT($I$23,"in","mm"))/$I$21)</f>
        <v>590.96389567369249</v>
      </c>
      <c r="J34" s="204">
        <f>$I$13-((J32*CONVERT($I$23,"in","mm"))/$I$21)</f>
        <v>454.2244740045885</v>
      </c>
      <c r="K34" s="204">
        <f>$I$13-((K32*CONVERT($I$23,"in","mm"))/$I$21)</f>
        <v>548.84234996205942</v>
      </c>
      <c r="L34" s="4" t="s">
        <v>190</v>
      </c>
      <c r="M34" s="224">
        <f>C54</f>
        <v>2.2065264667315256E-2</v>
      </c>
      <c r="N34" s="102" t="s">
        <v>221</v>
      </c>
      <c r="AC34" s="9"/>
      <c r="AD34" s="8"/>
      <c r="AE34" s="25"/>
      <c r="AG34">
        <v>14</v>
      </c>
      <c r="AH34">
        <v>103</v>
      </c>
      <c r="AJ34" s="15"/>
      <c r="AM34" s="15"/>
    </row>
    <row r="35" spans="2:40" ht="15.75" x14ac:dyDescent="0.3">
      <c r="B35" s="49" t="s">
        <v>96</v>
      </c>
      <c r="C35" s="89">
        <f>CONVERT(4,"in","m")</f>
        <v>0.1016</v>
      </c>
      <c r="D35" s="15" t="s">
        <v>25</v>
      </c>
      <c r="E35" s="138" t="s">
        <v>139</v>
      </c>
      <c r="F35" s="140"/>
      <c r="G35" s="259"/>
      <c r="H35" s="189" t="s">
        <v>189</v>
      </c>
      <c r="I35" s="202">
        <f>I31/(I33-$I$40)</f>
        <v>5.5899574356176943E-3</v>
      </c>
      <c r="J35" s="202">
        <f>J31/(J33-$I$40)</f>
        <v>0.12208288774348304</v>
      </c>
      <c r="K35" s="203">
        <f>K31/(K33-$I$40)</f>
        <v>1.5961255641559514E-2</v>
      </c>
      <c r="L35" s="106" t="s">
        <v>153</v>
      </c>
      <c r="M35" s="223">
        <f>M34*PI()</f>
        <v>6.932007337835204E-2</v>
      </c>
      <c r="N35" s="7" t="s">
        <v>222</v>
      </c>
      <c r="AC35" s="9"/>
      <c r="AD35" s="8"/>
      <c r="AE35" s="25"/>
      <c r="AG35">
        <v>16</v>
      </c>
      <c r="AH35">
        <v>102</v>
      </c>
      <c r="AJ35" s="15"/>
      <c r="AM35" s="15"/>
    </row>
    <row r="36" spans="2:40" ht="15.75" x14ac:dyDescent="0.3">
      <c r="B36" s="83" t="s">
        <v>93</v>
      </c>
      <c r="C36" s="86">
        <f>C35*39.3700787</f>
        <v>3.9999999959200001</v>
      </c>
      <c r="D36" s="15" t="s">
        <v>84</v>
      </c>
      <c r="E36" s="138" t="s">
        <v>140</v>
      </c>
      <c r="F36" s="140">
        <v>0.97499999999999998</v>
      </c>
      <c r="G36" s="15"/>
      <c r="H36" s="201" t="s">
        <v>189</v>
      </c>
      <c r="I36" s="104">
        <f>I32/(I34-$I$40/1.8)</f>
        <v>9.2708137060700437</v>
      </c>
      <c r="J36" s="104">
        <f>J32/(J34-$I$40/1.8)</f>
        <v>79.334675329649102</v>
      </c>
      <c r="K36" s="104">
        <f>K32/(K34-$I$40/1.8)</f>
        <v>23.257541097664312</v>
      </c>
      <c r="L36" s="100" t="s">
        <v>244</v>
      </c>
      <c r="M36" s="122">
        <f>ROUND(I39,0)</f>
        <v>10</v>
      </c>
      <c r="N36" s="106" t="s">
        <v>223</v>
      </c>
      <c r="AC36" s="9"/>
      <c r="AD36" s="8"/>
      <c r="AE36" s="25"/>
      <c r="AG36">
        <v>18</v>
      </c>
      <c r="AH36">
        <v>101</v>
      </c>
      <c r="AJ36" s="15"/>
      <c r="AM36" s="15"/>
    </row>
    <row r="37" spans="2:40" ht="15.75" x14ac:dyDescent="0.3">
      <c r="B37" s="14" t="s">
        <v>110</v>
      </c>
      <c r="C37" s="87">
        <v>60</v>
      </c>
      <c r="D37" s="17" t="s">
        <v>68</v>
      </c>
      <c r="E37" s="105" t="s">
        <v>131</v>
      </c>
      <c r="F37" s="88">
        <v>410</v>
      </c>
      <c r="G37" s="106" t="s">
        <v>292</v>
      </c>
      <c r="H37" s="168" t="s">
        <v>188</v>
      </c>
      <c r="I37" s="187">
        <f>PI()*C33*C35</f>
        <v>1.1505869448821546E-2</v>
      </c>
      <c r="J37" s="186">
        <f>PI()*(C33/2+C48/2)*SQRT(((C33/2-C48/2)*COS(RADIANS(C37)))^2+((C33-C48)/2)^2)</f>
        <v>9.5085734269310799E-4</v>
      </c>
      <c r="K37" s="188">
        <f>PI()*(C54/2+C48/2)*SQRT(((C54/2-C48/2)*COS(RADIANS(C56)))^2+((C54-C48)/2)^2)</f>
        <v>2.951623945546341E-4</v>
      </c>
      <c r="L37" s="161" t="s">
        <v>114</v>
      </c>
      <c r="M37" s="223">
        <f>M35/M36</f>
        <v>6.9320073378352038E-3</v>
      </c>
      <c r="N37" s="7" t="s">
        <v>224</v>
      </c>
      <c r="AC37" s="9"/>
      <c r="AD37" s="8"/>
      <c r="AE37" s="25"/>
      <c r="AG37">
        <v>20</v>
      </c>
      <c r="AH37">
        <v>100</v>
      </c>
      <c r="AI37" t="s">
        <v>2</v>
      </c>
      <c r="AJ37" s="15"/>
      <c r="AM37" s="15"/>
    </row>
    <row r="38" spans="2:40" ht="16.5" thickBot="1" x14ac:dyDescent="0.35">
      <c r="B38" s="19" t="s">
        <v>99</v>
      </c>
      <c r="C38" s="98">
        <f>(C33/2-C48/2)/TAN(RADIANS(C37))</f>
        <v>6.1577883776234021E-3</v>
      </c>
      <c r="D38" s="15" t="s">
        <v>25</v>
      </c>
      <c r="E38" s="105" t="s">
        <v>132</v>
      </c>
      <c r="F38" s="88">
        <v>250</v>
      </c>
      <c r="G38" s="106" t="s">
        <v>292</v>
      </c>
      <c r="H38" s="183" t="s">
        <v>188</v>
      </c>
      <c r="I38" s="184">
        <f>PI()*C34*C36</f>
        <v>17.834133277558394</v>
      </c>
      <c r="J38" s="184">
        <f>PI()*(C34/2+C49/2)*SQRT(((C34/2-C49/2)*COS(RADIANS(C37)))^2+((C34-C49)/2)^2)</f>
        <v>1.4738318258313581</v>
      </c>
      <c r="K38" s="185">
        <f>PI()*(C55/2+C49/2)*SQRT(((C55/2-C49/2)*COS(RADIANS(C56)))^2+((C55-C49)/2)^2)</f>
        <v>0.45750262563163058</v>
      </c>
      <c r="L38" s="161" t="s">
        <v>187</v>
      </c>
      <c r="M38">
        <v>7.9</v>
      </c>
      <c r="N38" s="106" t="s">
        <v>225</v>
      </c>
      <c r="AC38" s="9"/>
      <c r="AD38" s="8"/>
      <c r="AE38" s="25"/>
      <c r="AG38" t="s">
        <v>290</v>
      </c>
      <c r="AH38" t="s">
        <v>289</v>
      </c>
      <c r="AJ38" s="15"/>
      <c r="AM38" s="15"/>
    </row>
    <row r="39" spans="2:40" ht="15.75" x14ac:dyDescent="0.3">
      <c r="B39" s="84" t="s">
        <v>107</v>
      </c>
      <c r="C39" s="118">
        <f>C38*39.3700787</f>
        <v>0.24243261304497865</v>
      </c>
      <c r="D39" s="15" t="s">
        <v>84</v>
      </c>
      <c r="E39" s="107" t="s">
        <v>118</v>
      </c>
      <c r="F39" s="108">
        <f>F37-C12</f>
        <v>260</v>
      </c>
      <c r="G39" s="106" t="s">
        <v>292</v>
      </c>
      <c r="H39" s="237" t="s">
        <v>175</v>
      </c>
      <c r="I39" s="238">
        <v>10</v>
      </c>
      <c r="J39" s="7"/>
      <c r="M39" s="7">
        <f>M38*PI()</f>
        <v>24.818581963359367</v>
      </c>
      <c r="N39" s="7" t="s">
        <v>226</v>
      </c>
      <c r="AC39" s="9"/>
      <c r="AD39" s="8"/>
      <c r="AE39" s="25"/>
      <c r="AG39">
        <v>2</v>
      </c>
      <c r="AH39">
        <v>1</v>
      </c>
      <c r="AJ39" s="15"/>
      <c r="AM39" s="15"/>
    </row>
    <row r="40" spans="2:40" ht="15.75" x14ac:dyDescent="0.3">
      <c r="B40" s="19" t="s">
        <v>94</v>
      </c>
      <c r="C40" s="98">
        <f>C38/COS(RADIANS(C37))</f>
        <v>1.2315576755246801E-2</v>
      </c>
      <c r="D40" s="15" t="s">
        <v>25</v>
      </c>
      <c r="E40" s="107" t="s">
        <v>119</v>
      </c>
      <c r="F40" s="108">
        <f>F38-C12</f>
        <v>100</v>
      </c>
      <c r="G40" s="106" t="s">
        <v>292</v>
      </c>
      <c r="H40" s="217" t="s">
        <v>192</v>
      </c>
      <c r="I40" s="219">
        <f>280*1.8</f>
        <v>504</v>
      </c>
      <c r="J40" s="7" t="s">
        <v>148</v>
      </c>
      <c r="K40" t="e">
        <f>SQRT(K41)</f>
        <v>#NUM!</v>
      </c>
      <c r="M40" s="122">
        <f>M39/2 - M37</f>
        <v>12.402358974341848</v>
      </c>
      <c r="N40" s="106" t="s">
        <v>227</v>
      </c>
      <c r="AC40" s="9"/>
      <c r="AD40" s="8"/>
      <c r="AE40" s="25"/>
      <c r="AG40">
        <v>4</v>
      </c>
      <c r="AH40">
        <v>2</v>
      </c>
      <c r="AJ40" s="15"/>
      <c r="AM40" s="15"/>
    </row>
    <row r="41" spans="2:40" ht="15.75" x14ac:dyDescent="0.3">
      <c r="B41" s="84" t="s">
        <v>94</v>
      </c>
      <c r="C41" s="118">
        <f>C40*39.3700787</f>
        <v>0.48486522608995719</v>
      </c>
      <c r="D41" s="15" t="s">
        <v>84</v>
      </c>
      <c r="E41" s="174" t="s">
        <v>392</v>
      </c>
      <c r="F41" s="279" t="str">
        <f>IF(ISBLANK(F33)=FALSE,(2/(F33+1))^(F33/(F33-1)),"")</f>
        <v/>
      </c>
      <c r="G41" s="7" t="s">
        <v>393</v>
      </c>
      <c r="H41" s="217" t="s">
        <v>215</v>
      </c>
      <c r="I41" s="219">
        <f>514*1.8</f>
        <v>925.2</v>
      </c>
      <c r="J41" s="7" t="s">
        <v>148</v>
      </c>
      <c r="K41">
        <f>(C52/2-C48/2)+C57^2</f>
        <v>-6.9789281306190803E-3</v>
      </c>
      <c r="M41" s="122">
        <f>M38-M40</f>
        <v>-4.5023589743418473</v>
      </c>
      <c r="N41" s="7" t="s">
        <v>228</v>
      </c>
      <c r="AC41" s="9"/>
      <c r="AD41" s="8"/>
      <c r="AE41" s="25"/>
      <c r="AG41">
        <v>6</v>
      </c>
      <c r="AH41">
        <v>3</v>
      </c>
      <c r="AJ41" s="15"/>
      <c r="AM41" s="15"/>
    </row>
    <row r="42" spans="2:40" ht="15.75" x14ac:dyDescent="0.3">
      <c r="B42" s="53" t="s">
        <v>95</v>
      </c>
      <c r="C42" s="182">
        <f>C31*C35+C31*C40*(1+SQRT(C46/C31)+ C46/C31)</f>
        <v>1.2348453401365674E-4</v>
      </c>
      <c r="D42" s="15" t="s">
        <v>97</v>
      </c>
      <c r="E42" s="174" t="s">
        <v>394</v>
      </c>
      <c r="F42" s="279">
        <f>IF(ISBLANK(F34)=FALSE,(2/(F34+1))^(F34/(F34-1)),"")</f>
        <v>0.52660329279909524</v>
      </c>
      <c r="G42" s="7" t="s">
        <v>393</v>
      </c>
      <c r="H42" s="216" t="s">
        <v>214</v>
      </c>
      <c r="I42" s="44">
        <f>0.0624279606*F27</f>
        <v>49.942368479999999</v>
      </c>
      <c r="J42" s="7" t="s">
        <v>157</v>
      </c>
      <c r="M42">
        <f>6435/J32</f>
        <v>0.46556072995046899</v>
      </c>
      <c r="P42">
        <f>2*0.0254</f>
        <v>5.0799999999999998E-2</v>
      </c>
      <c r="AC42" s="9"/>
      <c r="AD42" s="8"/>
      <c r="AE42" s="25"/>
      <c r="AG42">
        <v>8</v>
      </c>
      <c r="AH42">
        <v>4</v>
      </c>
      <c r="AJ42" s="15"/>
      <c r="AM42" s="15"/>
    </row>
    <row r="43" spans="2:40" ht="15.75" x14ac:dyDescent="0.3">
      <c r="B43" s="90" t="s">
        <v>95</v>
      </c>
      <c r="C43" s="91">
        <f>C42*39.3700787^3</f>
        <v>7.5354885802480585</v>
      </c>
      <c r="D43" s="15" t="s">
        <v>98</v>
      </c>
      <c r="E43" s="280" t="s">
        <v>395</v>
      </c>
      <c r="F43" s="281" t="str">
        <f>IF(ISBLANK(F33)=FALSE,F41*F37,"")</f>
        <v/>
      </c>
      <c r="G43" s="106" t="s">
        <v>292</v>
      </c>
      <c r="H43" s="217" t="s">
        <v>159</v>
      </c>
      <c r="I43" s="219">
        <v>2.1399999999999999E-2</v>
      </c>
      <c r="P43">
        <f>P42*48</f>
        <v>2.4383999999999997</v>
      </c>
      <c r="AC43" s="9"/>
      <c r="AD43" s="8"/>
      <c r="AE43" s="25"/>
      <c r="AG43">
        <v>10</v>
      </c>
      <c r="AH43">
        <v>5</v>
      </c>
      <c r="AI43" t="s">
        <v>2</v>
      </c>
      <c r="AJ43" s="15"/>
      <c r="AM43" s="15"/>
    </row>
    <row r="44" spans="2:40" x14ac:dyDescent="0.2">
      <c r="B44" s="53" t="s">
        <v>102</v>
      </c>
      <c r="C44" s="52">
        <f>C42/C46</f>
        <v>0.72597591622516355</v>
      </c>
      <c r="D44" s="15" t="s">
        <v>25</v>
      </c>
      <c r="E44" s="280" t="s">
        <v>396</v>
      </c>
      <c r="F44" s="281">
        <f>IF(ISBLANK(F34)=FALSE,F42*F38,"")</f>
        <v>131.65082319977381</v>
      </c>
      <c r="G44" s="106" t="s">
        <v>292</v>
      </c>
      <c r="H44" s="217" t="s">
        <v>210</v>
      </c>
      <c r="I44" s="219">
        <v>4.1499999999999999E-5</v>
      </c>
      <c r="J44" s="7" t="s">
        <v>160</v>
      </c>
      <c r="P44">
        <f>1*0.0254</f>
        <v>2.5399999999999999E-2</v>
      </c>
      <c r="AC44" s="9"/>
      <c r="AD44" s="8"/>
      <c r="AE44" s="25"/>
      <c r="AG44">
        <v>12</v>
      </c>
      <c r="AH44">
        <v>6</v>
      </c>
      <c r="AJ44" s="15"/>
      <c r="AM44" s="15"/>
    </row>
    <row r="45" spans="2:40" ht="15.75" x14ac:dyDescent="0.3">
      <c r="B45" s="53" t="s">
        <v>102</v>
      </c>
      <c r="C45" s="52">
        <f>C44*39.3700787</f>
        <v>28.581728956089297</v>
      </c>
      <c r="D45" s="15" t="s">
        <v>84</v>
      </c>
      <c r="E45" s="174" t="s">
        <v>397</v>
      </c>
      <c r="F45" s="279" t="str">
        <f>IF(ISBLANK(F33)=FALSE,IF(F41*F37&gt;$C$12,TRUE,FALSE),"")</f>
        <v/>
      </c>
      <c r="G45" s="7" t="s">
        <v>393</v>
      </c>
      <c r="H45" s="217" t="s">
        <v>211</v>
      </c>
      <c r="I45" s="219">
        <f>0.00000415</f>
        <v>4.1500000000000001E-6</v>
      </c>
      <c r="J45" s="7" t="s">
        <v>160</v>
      </c>
      <c r="N45" s="6">
        <f>0.8+0.8</f>
        <v>1.6</v>
      </c>
      <c r="AC45" s="9"/>
      <c r="AD45" s="8"/>
      <c r="AE45" s="25"/>
      <c r="AG45">
        <v>14</v>
      </c>
      <c r="AH45">
        <v>7</v>
      </c>
      <c r="AJ45" s="15"/>
      <c r="AM45" s="15"/>
    </row>
    <row r="46" spans="2:40" ht="15.75" x14ac:dyDescent="0.3">
      <c r="B46" s="58" t="s">
        <v>32</v>
      </c>
      <c r="C46" s="47">
        <f>(F21/(C13*10^6))*SQRT((C10*C11)/(C8*(2/(C8+1))^((C8+1)/(C8-1))))</f>
        <v>1.7009453241332822E-4</v>
      </c>
      <c r="D46" s="17" t="s">
        <v>85</v>
      </c>
      <c r="E46" s="174" t="s">
        <v>398</v>
      </c>
      <c r="F46" s="279" t="b">
        <f>IF(ISBLANK(F34)=FALSE,IF(F42*F38&gt;$C$12,TRUE,FALSE),"")</f>
        <v>0</v>
      </c>
      <c r="G46" s="7" t="s">
        <v>393</v>
      </c>
      <c r="H46" s="217" t="s">
        <v>212</v>
      </c>
      <c r="I46" s="258">
        <f>2.409984</f>
        <v>2.4099840000000001</v>
      </c>
      <c r="J46" s="7" t="s">
        <v>288</v>
      </c>
      <c r="AC46" s="9"/>
      <c r="AD46" s="8"/>
      <c r="AE46" s="25"/>
      <c r="AG46">
        <v>16</v>
      </c>
      <c r="AH46">
        <v>8</v>
      </c>
      <c r="AJ46" s="15"/>
      <c r="AM46" s="15"/>
    </row>
    <row r="47" spans="2:40" ht="15.75" x14ac:dyDescent="0.3">
      <c r="B47" s="174" t="s">
        <v>197</v>
      </c>
      <c r="C47" s="124">
        <f>C46*39.3700787^2</f>
        <v>0.26364705199692384</v>
      </c>
      <c r="D47" s="15" t="s">
        <v>86</v>
      </c>
      <c r="E47" s="109" t="s">
        <v>293</v>
      </c>
      <c r="F47" s="157">
        <v>0.65</v>
      </c>
      <c r="G47" s="103" t="s">
        <v>116</v>
      </c>
      <c r="H47" s="216" t="s">
        <v>212</v>
      </c>
      <c r="I47" s="44">
        <v>0.57599999999999996</v>
      </c>
      <c r="J47" s="7" t="s">
        <v>161</v>
      </c>
      <c r="AC47" s="9"/>
      <c r="AD47" s="8"/>
      <c r="AE47" s="25"/>
      <c r="AG47">
        <v>18</v>
      </c>
      <c r="AH47">
        <v>9</v>
      </c>
      <c r="AJ47" s="15" t="s">
        <v>61</v>
      </c>
      <c r="AK47">
        <v>90</v>
      </c>
      <c r="AL47">
        <v>0</v>
      </c>
      <c r="AM47" s="15" t="s">
        <v>59</v>
      </c>
      <c r="AN47">
        <f>ABS(AN25)*AK25</f>
        <v>0</v>
      </c>
    </row>
    <row r="48" spans="2:40" ht="15.75" x14ac:dyDescent="0.2">
      <c r="B48" s="58" t="s">
        <v>44</v>
      </c>
      <c r="C48" s="82">
        <f>(SQRT(C46/PI()))*2</f>
        <v>1.471635433835046E-2</v>
      </c>
      <c r="D48" s="15" t="s">
        <v>25</v>
      </c>
      <c r="E48" s="109" t="s">
        <v>294</v>
      </c>
      <c r="F48" s="157">
        <v>0.8</v>
      </c>
      <c r="G48" s="103" t="s">
        <v>116</v>
      </c>
      <c r="H48" s="217" t="s">
        <v>213</v>
      </c>
      <c r="I48" s="218">
        <f>0.000001371</f>
        <v>1.3710000000000001E-6</v>
      </c>
      <c r="J48" s="7" t="s">
        <v>162</v>
      </c>
      <c r="N48">
        <f>4220*0.85</f>
        <v>3587</v>
      </c>
      <c r="O48">
        <f>(4220*0.85)/0.85^-0.8</f>
        <v>3149.6806128531734</v>
      </c>
      <c r="P48">
        <f>4220*0.85*0.85^0.8</f>
        <v>3149.6806128531734</v>
      </c>
      <c r="Q48">
        <f>4220*0.85^1.8</f>
        <v>3149.6806128531734</v>
      </c>
      <c r="R48">
        <f>0.85^1.8</f>
        <v>0.74636981347231601</v>
      </c>
      <c r="S48">
        <f>0.85</f>
        <v>0.85</v>
      </c>
      <c r="AC48" s="9">
        <v>5750</v>
      </c>
      <c r="AD48" s="8">
        <f>$F$18*(EXP(AC48/$C$23)-1)</f>
        <v>124.06086741760373</v>
      </c>
      <c r="AE48" s="25">
        <f>AD48-AD26</f>
        <v>15.15633315992072</v>
      </c>
      <c r="AG48">
        <v>20</v>
      </c>
      <c r="AH48">
        <v>10</v>
      </c>
      <c r="AJ48" s="15"/>
      <c r="AM48" s="15"/>
    </row>
    <row r="49" spans="2:40" ht="15.75" x14ac:dyDescent="0.2">
      <c r="B49" s="174" t="s">
        <v>198</v>
      </c>
      <c r="C49" s="124">
        <f>C48*39.3700787</f>
        <v>0.57938402847794401</v>
      </c>
      <c r="D49" s="15" t="s">
        <v>84</v>
      </c>
      <c r="E49" s="138" t="s">
        <v>133</v>
      </c>
      <c r="F49" s="139"/>
      <c r="G49" s="106" t="s">
        <v>128</v>
      </c>
      <c r="H49" s="230" t="s">
        <v>249</v>
      </c>
      <c r="I49" s="231">
        <f>((0.0214*((F25*2.20462*4)^0.8)*((1/(I44))^0.8)*(((I47*I44)/(I48))^0.4)*(((I44)/(I45))^0.14))*(I39^-0.8)*(1/(J35/I48)))^(1/1.8)</f>
        <v>1.0915113278446962E-2</v>
      </c>
      <c r="J49" s="7" t="s">
        <v>115</v>
      </c>
      <c r="K49" s="160"/>
      <c r="L49">
        <f>0.89*0.89</f>
        <v>0.79210000000000003</v>
      </c>
      <c r="N49">
        <f>115000*94.5^-0.8*0.85^-0.8</f>
        <v>3442.0506203943032</v>
      </c>
      <c r="O49">
        <f>115000*94.5^-0.8</f>
        <v>3022.4031523599597</v>
      </c>
      <c r="P49">
        <f>115000*94.5^-0.8</f>
        <v>3022.4031523599597</v>
      </c>
      <c r="Q49">
        <f>115000*94.5^-0.8</f>
        <v>3022.4031523599597</v>
      </c>
      <c r="R49">
        <f>115000*94.5^-0.8*(1/4220)</f>
        <v>0.71620927781041699</v>
      </c>
      <c r="S49" s="232">
        <f>(115000*94.5^-0.8*(1/4220))^(1/1.8)</f>
        <v>0.83074289336150009</v>
      </c>
      <c r="AC49" s="9"/>
      <c r="AD49" s="8"/>
      <c r="AE49" s="25"/>
      <c r="AJ49" s="15"/>
      <c r="AM49" s="15"/>
    </row>
    <row r="50" spans="2:40" ht="15.75" x14ac:dyDescent="0.2">
      <c r="B50" s="49" t="s">
        <v>103</v>
      </c>
      <c r="C50" s="89">
        <f>CONVERT(1/32,"in","m")</f>
        <v>7.9374999999999997E-4</v>
      </c>
      <c r="D50" s="15" t="s">
        <v>25</v>
      </c>
      <c r="E50" s="142" t="s">
        <v>138</v>
      </c>
      <c r="F50" s="152">
        <v>32</v>
      </c>
      <c r="G50" s="106" t="s">
        <v>128</v>
      </c>
      <c r="H50" s="233" t="s">
        <v>249</v>
      </c>
      <c r="I50" s="234">
        <f>CONVERT(I49,"in","mm")</f>
        <v>0.27724387727255284</v>
      </c>
      <c r="J50" s="7" t="s">
        <v>146</v>
      </c>
      <c r="K50">
        <f>I50*10</f>
        <v>2.7724387727255282</v>
      </c>
      <c r="L50" s="102"/>
      <c r="O50" s="6"/>
      <c r="AC50" s="9"/>
      <c r="AD50" s="8"/>
      <c r="AE50" s="25"/>
      <c r="AJ50" s="15"/>
      <c r="AM50" s="15"/>
    </row>
    <row r="51" spans="2:40" ht="15.75" x14ac:dyDescent="0.2">
      <c r="B51" s="83" t="s">
        <v>103</v>
      </c>
      <c r="C51" s="120">
        <f>C50*39.3700787</f>
        <v>3.1249999968125001E-2</v>
      </c>
      <c r="D51" s="15" t="s">
        <v>84</v>
      </c>
      <c r="E51" s="138" t="s">
        <v>141</v>
      </c>
      <c r="F51" s="137"/>
      <c r="G51" s="106" t="s">
        <v>18</v>
      </c>
      <c r="H51" s="216" t="s">
        <v>245</v>
      </c>
      <c r="I51" s="228">
        <f>PI()*(I49/2)^2</f>
        <v>9.3572099903722805E-5</v>
      </c>
      <c r="J51" s="7" t="s">
        <v>187</v>
      </c>
      <c r="L51">
        <f>SQRT(0.8)</f>
        <v>0.89442719099991586</v>
      </c>
      <c r="O51">
        <f>3^2*2^2</f>
        <v>36</v>
      </c>
      <c r="R51" s="106"/>
      <c r="AC51" s="9"/>
      <c r="AD51" s="8"/>
      <c r="AE51" s="25"/>
      <c r="AJ51" s="15"/>
      <c r="AM51" s="15"/>
    </row>
    <row r="52" spans="2:40" ht="15.75" x14ac:dyDescent="0.2">
      <c r="B52" s="19" t="s">
        <v>33</v>
      </c>
      <c r="C52" s="82">
        <f>C28*C46</f>
        <v>3.8239144146276309E-4</v>
      </c>
      <c r="D52" s="17" t="s">
        <v>85</v>
      </c>
      <c r="E52" s="142" t="s">
        <v>142</v>
      </c>
      <c r="F52" s="153">
        <v>288</v>
      </c>
      <c r="G52" s="106" t="s">
        <v>18</v>
      </c>
      <c r="H52" s="220" t="s">
        <v>245</v>
      </c>
      <c r="I52" s="236">
        <f>I51*645.16</f>
        <v>6.0368975973885804E-2</v>
      </c>
      <c r="J52" s="7" t="s">
        <v>250</v>
      </c>
      <c r="K52" s="242">
        <f>I52*I39</f>
        <v>0.60368975973885808</v>
      </c>
      <c r="L52">
        <f>SQRT(I52)</f>
        <v>0.24570098895585626</v>
      </c>
      <c r="O52">
        <f>(3*2)^2</f>
        <v>36</v>
      </c>
      <c r="AC52" s="9"/>
      <c r="AD52" s="8"/>
      <c r="AE52" s="25"/>
      <c r="AJ52" s="15"/>
      <c r="AM52" s="15"/>
    </row>
    <row r="53" spans="2:40" ht="15.75" x14ac:dyDescent="0.3">
      <c r="B53" s="84" t="s">
        <v>33</v>
      </c>
      <c r="C53" s="86">
        <f>C52*39.3700787^2</f>
        <v>0.59270791847399806</v>
      </c>
      <c r="D53" s="15" t="s">
        <v>86</v>
      </c>
      <c r="E53" s="145" t="s">
        <v>134</v>
      </c>
      <c r="F53" s="148">
        <f>IF(ISBLANK(F35),F25/(F47*SQRT(2*(F39*6894.75729)*F27)),IF(F45=FALSE,F25/(F47*(F37*6894.75729)*SQRT(((2*F49*9.80665)/(F35*8314.4621*F51))*(F33/(F33-1)) * (((C12*6894.75729)/(F37*6894.75729))^(2/F33)- ((C12*6894.75729)/(F37*6894.75729))^((F33+1)/F33)))),F25/(F47*SQRT(F33*F27*F37*6894.75729*(2/(F33+1))^((F33+1)/(F33-1))))))</f>
        <v>1.5659803184097792E-6</v>
      </c>
      <c r="G53" s="101" t="s">
        <v>113</v>
      </c>
      <c r="H53" s="216" t="s">
        <v>156</v>
      </c>
      <c r="I53" s="44">
        <f>3.28084*I54</f>
        <v>370.32844188300646</v>
      </c>
      <c r="J53" s="7" t="s">
        <v>158</v>
      </c>
      <c r="K53" s="46"/>
      <c r="L53" s="106">
        <f>SQRT(1)</f>
        <v>1</v>
      </c>
      <c r="N53" s="232">
        <f>0.0214*(2106^0.8)*((1/(4.16*10^-5))^0.8)*(((0.5*4.16*10^-5)/(1.78*10^-6))^0.4)*(((4.16*10^-5)/(0.416*10^-5))^0.14)</f>
        <v>115070.27086605733</v>
      </c>
      <c r="AC53" s="9"/>
      <c r="AD53" s="8"/>
      <c r="AE53" s="25"/>
      <c r="AJ53" s="15"/>
      <c r="AM53" s="15"/>
    </row>
    <row r="54" spans="2:40" ht="15.75" x14ac:dyDescent="0.3">
      <c r="B54" s="58" t="s">
        <v>45</v>
      </c>
      <c r="C54" s="82">
        <f>(SQRT(C52/PI()))*2</f>
        <v>2.2065264667315256E-2</v>
      </c>
      <c r="D54" s="15" t="s">
        <v>25</v>
      </c>
      <c r="E54" s="146" t="s">
        <v>134</v>
      </c>
      <c r="F54" s="150">
        <f>F53*39.3700787^2</f>
        <v>2.4272743431322146E-3</v>
      </c>
      <c r="G54" s="101" t="s">
        <v>125</v>
      </c>
      <c r="H54" s="241" t="s">
        <v>156</v>
      </c>
      <c r="I54" s="235">
        <f>F29/(I51*I39*0.00064516)</f>
        <v>112.876105473905</v>
      </c>
      <c r="J54" s="7" t="s">
        <v>13</v>
      </c>
      <c r="AC54" s="9"/>
      <c r="AD54" s="8"/>
      <c r="AE54" s="25"/>
      <c r="AJ54" s="15"/>
      <c r="AM54" s="15"/>
    </row>
    <row r="55" spans="2:40" x14ac:dyDescent="0.2">
      <c r="B55" s="83" t="s">
        <v>45</v>
      </c>
      <c r="C55" s="86">
        <f>C54*39.3700787</f>
        <v>0.86871120648853095</v>
      </c>
      <c r="D55" s="15" t="s">
        <v>84</v>
      </c>
      <c r="E55" s="143" t="s">
        <v>135</v>
      </c>
      <c r="F55" s="149">
        <f>(SQRT(F53/PI()))*2</f>
        <v>1.4120439326296801E-3</v>
      </c>
      <c r="G55" s="101" t="s">
        <v>126</v>
      </c>
      <c r="H55" s="172" t="s">
        <v>176</v>
      </c>
      <c r="I55" s="211">
        <f>(F25*2.205)*I47*(I41-I40)</f>
        <v>29.162533620969448</v>
      </c>
      <c r="J55" s="7" t="s">
        <v>155</v>
      </c>
      <c r="K55" s="15"/>
      <c r="M55" s="121"/>
      <c r="N55">
        <f>2^2</f>
        <v>4</v>
      </c>
      <c r="AC55" s="9"/>
      <c r="AD55" s="8"/>
      <c r="AE55" s="25"/>
      <c r="AJ55" s="15"/>
      <c r="AM55" s="15"/>
    </row>
    <row r="56" spans="2:40" x14ac:dyDescent="0.2">
      <c r="B56" s="14" t="s">
        <v>87</v>
      </c>
      <c r="C56" s="87">
        <v>15</v>
      </c>
      <c r="D56" s="17" t="s">
        <v>68</v>
      </c>
      <c r="E56" s="144" t="s">
        <v>135</v>
      </c>
      <c r="F56" s="151">
        <f>F55*39.3700787</f>
        <v>5.5592280755487999E-2</v>
      </c>
      <c r="G56" s="101" t="s">
        <v>127</v>
      </c>
      <c r="H56" s="201" t="s">
        <v>176</v>
      </c>
      <c r="I56" s="212">
        <f>1.05505585*I55</f>
        <v>30.7681016976255</v>
      </c>
      <c r="J56" s="106" t="s">
        <v>243</v>
      </c>
      <c r="K56" s="106">
        <f>(F25)*I46*(514-280)</f>
        <v>30.742262703486059</v>
      </c>
      <c r="M56">
        <f>L56+I38*I31</f>
        <v>51.645112453517015</v>
      </c>
      <c r="N56">
        <f>4^2/2^2</f>
        <v>4</v>
      </c>
      <c r="AC56" s="9"/>
      <c r="AD56" s="8"/>
      <c r="AE56" s="25"/>
      <c r="AJ56" s="15"/>
      <c r="AM56" s="15"/>
    </row>
    <row r="57" spans="2:40" ht="15.75" x14ac:dyDescent="0.3">
      <c r="B57" s="19" t="s">
        <v>34</v>
      </c>
      <c r="C57" s="18">
        <f>(C54/2-C48/2)/TAN(RADIANS(C56))</f>
        <v>1.3713253363982167E-2</v>
      </c>
      <c r="D57" s="15" t="s">
        <v>25</v>
      </c>
      <c r="E57" s="145" t="s">
        <v>136</v>
      </c>
      <c r="F57" s="148">
        <f>IF(ISBLANK(F36),F26/(F48*SQRT(2*(F40*6894.75729)*F28)),IF(F46=FALSE,F26/(F48*(F38*6894.75729)*SQRT(((2*F50*9.80665)/(F36*8314.4621*F52))*(F34/(F34-1)) * (((C12*6894.75729)/(F38*6894.75729))^(2/F34)- ((C12*6894.75729)/(F38*6894.75729))^((F34+1)/F34)))),F26/(F48*SQRT(F34*F28*F38*6894.75729*(2/(F34+1))^((F34+1)/(F34-1))))))</f>
        <v>5.0275112966848092E-6</v>
      </c>
      <c r="G57" s="101" t="s">
        <v>113</v>
      </c>
      <c r="H57" s="169" t="s">
        <v>177</v>
      </c>
      <c r="I57" s="211">
        <f>I38*I31+(J38+K38)*((J31+K31)/2*0.75)</f>
        <v>66.249596638054882</v>
      </c>
      <c r="J57" s="7" t="s">
        <v>155</v>
      </c>
      <c r="K57" s="15"/>
      <c r="AC57" s="9"/>
      <c r="AD57" s="8"/>
      <c r="AE57" s="25"/>
      <c r="AJ57" s="15" t="s">
        <v>62</v>
      </c>
      <c r="AK57">
        <v>0</v>
      </c>
      <c r="AL57">
        <v>0</v>
      </c>
      <c r="AM57" s="15" t="s">
        <v>65</v>
      </c>
      <c r="AN57">
        <v>0</v>
      </c>
    </row>
    <row r="58" spans="2:40" ht="15.75" x14ac:dyDescent="0.3">
      <c r="B58" s="84" t="s">
        <v>34</v>
      </c>
      <c r="C58" s="85">
        <f>C57*39.3700787</f>
        <v>0.53989186417301771</v>
      </c>
      <c r="D58" s="17" t="s">
        <v>84</v>
      </c>
      <c r="E58" s="146" t="s">
        <v>136</v>
      </c>
      <c r="F58" s="150">
        <f>F57*39.3700787^2</f>
        <v>7.7926580792806229E-3</v>
      </c>
      <c r="G58" s="101" t="s">
        <v>125</v>
      </c>
      <c r="H58" s="196" t="s">
        <v>177</v>
      </c>
      <c r="I58" s="212">
        <f>I37*I32+(J37+K37)*((J32+K32)/2*0.75)</f>
        <v>42.550167647843196</v>
      </c>
      <c r="J58" s="106" t="s">
        <v>243</v>
      </c>
      <c r="L58" s="6"/>
      <c r="O58">
        <f>4220^-0.8</f>
        <v>1.2582010382724757E-3</v>
      </c>
      <c r="P58">
        <f>115000^0.8</f>
        <v>11182.99864515863</v>
      </c>
      <c r="Q58">
        <f>P58/O58</f>
        <v>8888085.6913876124</v>
      </c>
      <c r="AC58" s="9">
        <v>6000</v>
      </c>
      <c r="AD58" s="8">
        <f>$F$18*(EXP(AC58/$C$23)-1)</f>
        <v>141.18217512973618</v>
      </c>
      <c r="AE58" s="25">
        <f>AD58-AD48</f>
        <v>17.121307712132449</v>
      </c>
      <c r="AJ58" s="15"/>
      <c r="AM58" s="15"/>
    </row>
    <row r="59" spans="2:40" ht="28.5" x14ac:dyDescent="0.3">
      <c r="B59" s="84" t="s">
        <v>100</v>
      </c>
      <c r="C59" s="85">
        <f>C57/COS(RADIANS(C56))</f>
        <v>1.4197004563659179E-2</v>
      </c>
      <c r="D59" s="15" t="s">
        <v>25</v>
      </c>
      <c r="E59" s="143" t="s">
        <v>137</v>
      </c>
      <c r="F59" s="149">
        <f>(SQRT(F57/PI()))*2</f>
        <v>2.5300644645031979E-3</v>
      </c>
      <c r="G59" s="101" t="s">
        <v>126</v>
      </c>
      <c r="H59" s="206" t="s">
        <v>178</v>
      </c>
      <c r="I59" s="44">
        <f>I57/(F25*2.205*I47)</f>
        <v>956.85547993278567</v>
      </c>
      <c r="J59" s="7" t="s">
        <v>148</v>
      </c>
      <c r="L59" s="6"/>
      <c r="Q59">
        <f>O58/P58</f>
        <v>1.1251016638700739E-7</v>
      </c>
      <c r="AC59" s="9"/>
      <c r="AD59" s="8"/>
      <c r="AE59" s="25"/>
      <c r="AJ59" s="15"/>
      <c r="AM59" s="15"/>
    </row>
    <row r="60" spans="2:40" ht="28.5" x14ac:dyDescent="0.3">
      <c r="B60" s="19" t="s">
        <v>100</v>
      </c>
      <c r="C60" s="18">
        <f>C59*39.3700787</f>
        <v>0.55893718697552108</v>
      </c>
      <c r="D60" s="17" t="s">
        <v>84</v>
      </c>
      <c r="E60" s="144" t="s">
        <v>137</v>
      </c>
      <c r="F60" s="151">
        <f>F59*39.3700787</f>
        <v>9.9608837083564258E-2</v>
      </c>
      <c r="G60" s="101" t="s">
        <v>127</v>
      </c>
      <c r="H60" s="207" t="s">
        <v>178</v>
      </c>
      <c r="I60" s="208">
        <f>I59*(5/9)</f>
        <v>531.58637774043655</v>
      </c>
      <c r="J60" s="7" t="s">
        <v>190</v>
      </c>
      <c r="L60" s="6"/>
      <c r="AC60" s="9"/>
      <c r="AD60" s="8"/>
      <c r="AE60" s="25"/>
      <c r="AJ60" s="15"/>
      <c r="AM60" s="15"/>
    </row>
    <row r="61" spans="2:40" ht="15.75" x14ac:dyDescent="0.3">
      <c r="B61" s="49" t="s">
        <v>101</v>
      </c>
      <c r="C61" s="96">
        <f>0.0025</f>
        <v>2.5000000000000001E-3</v>
      </c>
      <c r="D61" s="102" t="s">
        <v>25</v>
      </c>
      <c r="E61" s="257"/>
      <c r="F61" s="115"/>
      <c r="G61" s="3"/>
      <c r="H61" s="195" t="s">
        <v>191</v>
      </c>
      <c r="I61" s="171">
        <f>I59+I40</f>
        <v>1460.8554799327858</v>
      </c>
      <c r="J61" s="7" t="s">
        <v>148</v>
      </c>
      <c r="AC61" s="9"/>
      <c r="AD61" s="8"/>
      <c r="AE61" s="25"/>
      <c r="AJ61" s="15"/>
      <c r="AM61" s="15"/>
    </row>
    <row r="62" spans="2:40" ht="16.5" thickBot="1" x14ac:dyDescent="0.35">
      <c r="B62" s="83" t="s">
        <v>101</v>
      </c>
      <c r="C62" s="124">
        <f>C61*39.3700787</f>
        <v>9.8425196749999999E-2</v>
      </c>
      <c r="D62" s="106" t="s">
        <v>86</v>
      </c>
      <c r="E62" s="256"/>
      <c r="F62" s="117"/>
      <c r="G62" s="102"/>
      <c r="H62" s="209" t="s">
        <v>191</v>
      </c>
      <c r="I62" s="210">
        <f>I61*(5/9)</f>
        <v>811.58637774043655</v>
      </c>
      <c r="J62" s="7" t="s">
        <v>190</v>
      </c>
      <c r="AC62" s="9"/>
      <c r="AD62" s="8"/>
      <c r="AE62" s="25"/>
      <c r="AJ62" s="15"/>
      <c r="AM62" s="15"/>
    </row>
    <row r="63" spans="2:40" x14ac:dyDescent="0.2">
      <c r="B63" s="119"/>
      <c r="C63" s="260"/>
      <c r="E63" s="116"/>
      <c r="F63" s="117"/>
      <c r="G63" s="102"/>
      <c r="L63" s="6"/>
      <c r="AC63" s="9"/>
      <c r="AD63" s="8"/>
      <c r="AE63" s="25"/>
      <c r="AJ63" s="15"/>
      <c r="AM63" s="15"/>
    </row>
    <row r="64" spans="2:40" ht="13.5" thickBot="1" x14ac:dyDescent="0.25">
      <c r="B64" s="17"/>
      <c r="C64" s="22"/>
      <c r="D64" s="22"/>
      <c r="E64" s="102"/>
      <c r="F64" s="115"/>
      <c r="G64" s="102"/>
      <c r="X64" s="6"/>
      <c r="AC64" s="9"/>
      <c r="AD64" s="8"/>
      <c r="AE64" s="25"/>
      <c r="AJ64" s="15" t="s">
        <v>63</v>
      </c>
      <c r="AK64">
        <v>80</v>
      </c>
      <c r="AL64">
        <v>90</v>
      </c>
      <c r="AM64" s="15" t="s">
        <v>66</v>
      </c>
      <c r="AN64">
        <v>90</v>
      </c>
    </row>
    <row r="65" spans="2:39" ht="14.25" x14ac:dyDescent="0.25">
      <c r="B65" s="54" t="s">
        <v>16</v>
      </c>
      <c r="C65" s="70" t="s">
        <v>17</v>
      </c>
      <c r="D65" s="70" t="s">
        <v>52</v>
      </c>
      <c r="E65" s="55" t="s">
        <v>51</v>
      </c>
      <c r="AC65" s="9">
        <v>6250</v>
      </c>
      <c r="AD65" s="8">
        <f t="shared" ref="AD65:AD80" si="2">$F$18*(EXP(AC65/$C$23)-1)</f>
        <v>160.52321063486093</v>
      </c>
      <c r="AE65" s="25">
        <f>AD65-AD58</f>
        <v>19.341035505124751</v>
      </c>
      <c r="AJ65" s="6" t="s">
        <v>2</v>
      </c>
      <c r="AK65" s="6" t="s">
        <v>60</v>
      </c>
      <c r="AL65" s="6" t="s">
        <v>60</v>
      </c>
      <c r="AM65" s="6" t="s">
        <v>64</v>
      </c>
    </row>
    <row r="66" spans="2:39" ht="13.5" thickBot="1" x14ac:dyDescent="0.25">
      <c r="B66" s="56" t="str">
        <f ca="1">INDIRECT(IU9)</f>
        <v>m/sec</v>
      </c>
      <c r="C66" s="71">
        <f ca="1">INDIRECT(IV9)/1000</f>
        <v>0</v>
      </c>
      <c r="D66" s="71">
        <f>SUM(I95:I100)</f>
        <v>223.59080707617198</v>
      </c>
      <c r="E66" s="57">
        <f ca="1">AVERAGE(H95:INDIRECT(IU10))</f>
        <v>209.12197598446176</v>
      </c>
      <c r="J66" s="15"/>
      <c r="AC66" s="9">
        <v>6500</v>
      </c>
      <c r="AD66" s="8">
        <f t="shared" si="2"/>
        <v>182.371755191152</v>
      </c>
      <c r="AE66" s="25">
        <f t="shared" ref="AE66:AE80" si="3">AD66-AD65</f>
        <v>21.848544556291074</v>
      </c>
      <c r="AJ66">
        <v>0</v>
      </c>
      <c r="AK66" t="e">
        <f t="shared" ref="AK66:AK76" si="4">$AK$47-(($AK$47-$AK$57)/$AK$25*AJ66)</f>
        <v>#DIV/0!</v>
      </c>
      <c r="AL66">
        <v>0</v>
      </c>
      <c r="AM66">
        <f t="shared" ref="AM66:AM76" si="5">($AN$25*AJ66^2)+($AN$47*AJ66)+($AN$57)</f>
        <v>0</v>
      </c>
    </row>
    <row r="67" spans="2:39" x14ac:dyDescent="0.2">
      <c r="B67" s="17"/>
      <c r="C67" s="23"/>
      <c r="D67" s="22" t="s">
        <v>83</v>
      </c>
      <c r="E67" s="15"/>
      <c r="J67" s="15"/>
      <c r="AC67" s="9">
        <v>6750</v>
      </c>
      <c r="AD67" s="8">
        <f t="shared" si="2"/>
        <v>207.05290006065772</v>
      </c>
      <c r="AE67" s="25">
        <f t="shared" si="3"/>
        <v>24.681144869505715</v>
      </c>
      <c r="AJ67">
        <v>1</v>
      </c>
      <c r="AK67" t="e">
        <f t="shared" si="4"/>
        <v>#DIV/0!</v>
      </c>
      <c r="AL67">
        <v>18</v>
      </c>
      <c r="AM67">
        <f t="shared" si="5"/>
        <v>-3.6</v>
      </c>
    </row>
    <row r="68" spans="2:39" x14ac:dyDescent="0.2">
      <c r="B68" s="17"/>
      <c r="C68" s="23"/>
      <c r="D68" s="22"/>
      <c r="E68" s="22"/>
      <c r="J68" s="15"/>
      <c r="AC68" s="9">
        <v>7000</v>
      </c>
      <c r="AD68" s="8">
        <f t="shared" si="2"/>
        <v>234.93388364288575</v>
      </c>
      <c r="AE68" s="25">
        <f t="shared" si="3"/>
        <v>27.880983582228026</v>
      </c>
      <c r="AJ68">
        <v>2</v>
      </c>
      <c r="AK68" t="e">
        <f t="shared" si="4"/>
        <v>#DIV/0!</v>
      </c>
      <c r="AL68">
        <v>36</v>
      </c>
      <c r="AM68">
        <f t="shared" si="5"/>
        <v>-14.4</v>
      </c>
    </row>
    <row r="69" spans="2:39" x14ac:dyDescent="0.2">
      <c r="B69" s="17"/>
      <c r="C69" s="23"/>
      <c r="D69" s="22"/>
      <c r="E69" s="22"/>
      <c r="AC69" s="9">
        <v>7250</v>
      </c>
      <c r="AD69" s="8">
        <f t="shared" si="2"/>
        <v>266.42955572870142</v>
      </c>
      <c r="AE69" s="25">
        <f t="shared" si="3"/>
        <v>31.49567208581567</v>
      </c>
      <c r="AJ69">
        <v>3</v>
      </c>
      <c r="AK69" t="e">
        <f t="shared" si="4"/>
        <v>#DIV/0!</v>
      </c>
      <c r="AL69">
        <v>54</v>
      </c>
      <c r="AM69">
        <f t="shared" si="5"/>
        <v>-32.4</v>
      </c>
    </row>
    <row r="70" spans="2:39" x14ac:dyDescent="0.2">
      <c r="B70" s="17"/>
      <c r="C70" s="23"/>
      <c r="D70" s="22"/>
      <c r="E70" s="22"/>
      <c r="I70" s="123"/>
      <c r="AC70" s="9">
        <v>7500</v>
      </c>
      <c r="AD70" s="8">
        <f t="shared" si="2"/>
        <v>302.00855017886641</v>
      </c>
      <c r="AE70" s="25">
        <f t="shared" si="3"/>
        <v>35.578994450164998</v>
      </c>
      <c r="AJ70">
        <v>4</v>
      </c>
      <c r="AK70" t="e">
        <f t="shared" si="4"/>
        <v>#DIV/0!</v>
      </c>
      <c r="AL70">
        <v>72</v>
      </c>
      <c r="AM70">
        <f t="shared" si="5"/>
        <v>-57.6</v>
      </c>
    </row>
    <row r="71" spans="2:39" x14ac:dyDescent="0.2">
      <c r="B71" s="17"/>
      <c r="C71" s="23"/>
      <c r="D71" s="22"/>
      <c r="E71" s="22"/>
      <c r="I71" s="123"/>
      <c r="AC71" s="9">
        <v>7750</v>
      </c>
      <c r="AD71" s="8">
        <f t="shared" si="2"/>
        <v>342.20025787241218</v>
      </c>
      <c r="AE71" s="25">
        <f t="shared" si="3"/>
        <v>40.191707693545766</v>
      </c>
      <c r="AJ71">
        <v>5</v>
      </c>
      <c r="AK71" t="e">
        <f t="shared" si="4"/>
        <v>#DIV/0!</v>
      </c>
      <c r="AL71">
        <v>90</v>
      </c>
      <c r="AM71">
        <f t="shared" si="5"/>
        <v>-90</v>
      </c>
    </row>
    <row r="72" spans="2:39" x14ac:dyDescent="0.2">
      <c r="B72" s="17"/>
      <c r="C72" s="23"/>
      <c r="D72" s="22"/>
      <c r="E72" s="97"/>
      <c r="I72" s="123"/>
      <c r="K72" s="126"/>
      <c r="AC72" s="9">
        <v>8000</v>
      </c>
      <c r="AD72" s="8">
        <f t="shared" si="2"/>
        <v>387.60270367750803</v>
      </c>
      <c r="AE72" s="25">
        <f t="shared" si="3"/>
        <v>45.402445805095851</v>
      </c>
      <c r="AJ72">
        <v>6</v>
      </c>
      <c r="AK72" t="e">
        <f t="shared" si="4"/>
        <v>#DIV/0!</v>
      </c>
      <c r="AL72">
        <v>72</v>
      </c>
      <c r="AM72">
        <f t="shared" si="5"/>
        <v>-129.6</v>
      </c>
    </row>
    <row r="73" spans="2:39" x14ac:dyDescent="0.2">
      <c r="B73" s="17"/>
      <c r="C73" s="23"/>
      <c r="D73" s="22"/>
      <c r="E73" s="97"/>
      <c r="I73" s="123"/>
      <c r="AC73" s="9">
        <v>8250</v>
      </c>
      <c r="AD73" s="8">
        <f t="shared" si="2"/>
        <v>438.89144464871333</v>
      </c>
      <c r="AE73" s="25">
        <f t="shared" si="3"/>
        <v>51.2887409712053</v>
      </c>
      <c r="AJ73">
        <v>7</v>
      </c>
      <c r="AK73" t="e">
        <f t="shared" si="4"/>
        <v>#DIV/0!</v>
      </c>
      <c r="AL73">
        <v>54</v>
      </c>
      <c r="AM73">
        <f t="shared" si="5"/>
        <v>-176.4</v>
      </c>
    </row>
    <row r="74" spans="2:39" x14ac:dyDescent="0.2">
      <c r="B74" s="17"/>
      <c r="C74" s="23"/>
      <c r="D74" s="22"/>
      <c r="E74" s="22"/>
      <c r="AC74" s="9">
        <v>8500</v>
      </c>
      <c r="AD74" s="8">
        <f t="shared" si="2"/>
        <v>496.82962184964646</v>
      </c>
      <c r="AE74" s="25">
        <f t="shared" si="3"/>
        <v>57.938177200933126</v>
      </c>
      <c r="AJ74">
        <v>8</v>
      </c>
      <c r="AK74" t="e">
        <f t="shared" si="4"/>
        <v>#DIV/0!</v>
      </c>
      <c r="AL74">
        <v>36</v>
      </c>
      <c r="AM74">
        <f t="shared" si="5"/>
        <v>-230.4</v>
      </c>
    </row>
    <row r="75" spans="2:39" x14ac:dyDescent="0.2">
      <c r="B75" s="17"/>
      <c r="C75" s="23"/>
      <c r="D75" s="22"/>
      <c r="E75" s="22"/>
      <c r="AC75" s="9">
        <v>8750</v>
      </c>
      <c r="AD75" s="8">
        <f t="shared" si="2"/>
        <v>562.27931536525239</v>
      </c>
      <c r="AE75" s="25">
        <f t="shared" si="3"/>
        <v>65.449693515605929</v>
      </c>
      <c r="AJ75">
        <v>9</v>
      </c>
      <c r="AK75" t="e">
        <f t="shared" si="4"/>
        <v>#DIV/0!</v>
      </c>
      <c r="AL75">
        <v>18</v>
      </c>
      <c r="AM75">
        <f t="shared" si="5"/>
        <v>-291.60000000000002</v>
      </c>
    </row>
    <row r="76" spans="2:39" x14ac:dyDescent="0.2">
      <c r="B76" s="17"/>
      <c r="C76" s="23"/>
      <c r="D76" s="22"/>
      <c r="E76" s="22"/>
      <c r="AC76" s="9">
        <v>9000</v>
      </c>
      <c r="AD76" s="8">
        <f t="shared" si="2"/>
        <v>636.21437145841878</v>
      </c>
      <c r="AE76" s="25">
        <f t="shared" si="3"/>
        <v>73.935056093166395</v>
      </c>
      <c r="AJ76">
        <v>10</v>
      </c>
      <c r="AK76" t="e">
        <f t="shared" si="4"/>
        <v>#DIV/0!</v>
      </c>
      <c r="AL76">
        <v>0</v>
      </c>
      <c r="AM76">
        <f t="shared" si="5"/>
        <v>-360</v>
      </c>
    </row>
    <row r="77" spans="2:39" x14ac:dyDescent="0.2">
      <c r="B77" s="17"/>
      <c r="C77" s="23"/>
      <c r="D77" s="22"/>
      <c r="E77" s="22"/>
      <c r="J77" s="15"/>
      <c r="AC77" s="9">
        <v>9250</v>
      </c>
      <c r="AD77" s="8">
        <f t="shared" si="2"/>
        <v>719.73489273016742</v>
      </c>
      <c r="AE77" s="25">
        <f t="shared" si="3"/>
        <v>83.520521271748635</v>
      </c>
    </row>
    <row r="78" spans="2:39" x14ac:dyDescent="0.2">
      <c r="B78" s="17"/>
      <c r="C78" s="23"/>
      <c r="D78" s="22"/>
      <c r="E78" s="22"/>
      <c r="AC78" s="9">
        <v>9500</v>
      </c>
      <c r="AD78" s="8">
        <f t="shared" si="2"/>
        <v>814.08360688701578</v>
      </c>
      <c r="AE78" s="25">
        <f t="shared" si="3"/>
        <v>94.348714156848359</v>
      </c>
    </row>
    <row r="79" spans="2:39" x14ac:dyDescent="0.2">
      <c r="B79" s="17"/>
      <c r="C79" s="23"/>
      <c r="D79" s="22"/>
      <c r="E79" s="22"/>
      <c r="AC79" s="9">
        <v>9750</v>
      </c>
      <c r="AD79" s="8">
        <f t="shared" si="2"/>
        <v>920.66435767145413</v>
      </c>
      <c r="AE79" s="25">
        <f t="shared" si="3"/>
        <v>106.58075078443835</v>
      </c>
    </row>
    <row r="80" spans="2:39" ht="13.5" thickBot="1" x14ac:dyDescent="0.25">
      <c r="B80" s="17"/>
      <c r="C80" s="23"/>
      <c r="D80" s="22"/>
      <c r="E80" s="22"/>
      <c r="AC80" s="10">
        <v>10000</v>
      </c>
      <c r="AD80" s="11">
        <f t="shared" si="2"/>
        <v>1041.0629930878324</v>
      </c>
      <c r="AE80" s="75">
        <f t="shared" si="3"/>
        <v>120.39863541637828</v>
      </c>
    </row>
    <row r="81" spans="2:21" x14ac:dyDescent="0.2">
      <c r="B81" s="17"/>
      <c r="C81" s="23"/>
      <c r="D81" s="22"/>
      <c r="E81" s="22"/>
      <c r="J81" s="15"/>
    </row>
    <row r="82" spans="2:21" x14ac:dyDescent="0.2">
      <c r="B82" s="17"/>
      <c r="C82" s="23"/>
      <c r="D82" s="22"/>
      <c r="E82" s="22"/>
      <c r="G82">
        <v>1.6579999999999999</v>
      </c>
    </row>
    <row r="83" spans="2:21" x14ac:dyDescent="0.2">
      <c r="B83" s="17"/>
      <c r="C83" s="23"/>
      <c r="D83" s="22"/>
      <c r="E83" s="22"/>
      <c r="G83" s="261">
        <f>0.2</f>
        <v>0.2</v>
      </c>
    </row>
    <row r="84" spans="2:21" x14ac:dyDescent="0.2">
      <c r="B84" s="17"/>
      <c r="C84" s="23"/>
      <c r="D84" s="22"/>
      <c r="E84" s="22"/>
      <c r="G84" s="6">
        <f>G82-G83</f>
        <v>1.458</v>
      </c>
    </row>
    <row r="85" spans="2:21" x14ac:dyDescent="0.2">
      <c r="B85" s="17"/>
      <c r="C85" s="23"/>
      <c r="D85" s="22"/>
      <c r="E85" s="22"/>
    </row>
    <row r="86" spans="2:21" x14ac:dyDescent="0.2">
      <c r="B86" s="17"/>
      <c r="C86" s="23"/>
      <c r="D86" s="22"/>
      <c r="E86" s="22"/>
    </row>
    <row r="87" spans="2:21" x14ac:dyDescent="0.2">
      <c r="B87" s="17"/>
      <c r="C87" s="23"/>
      <c r="D87" s="22"/>
      <c r="E87" s="22"/>
    </row>
    <row r="88" spans="2:21" x14ac:dyDescent="0.2">
      <c r="B88" s="17"/>
      <c r="C88" s="23"/>
      <c r="D88" s="22"/>
      <c r="E88" s="22"/>
    </row>
    <row r="89" spans="2:21" x14ac:dyDescent="0.2">
      <c r="B89" s="17"/>
      <c r="C89" s="23"/>
      <c r="D89" s="22"/>
      <c r="E89" s="22"/>
    </row>
    <row r="90" spans="2:21" x14ac:dyDescent="0.2">
      <c r="B90" s="17"/>
      <c r="C90" s="23"/>
      <c r="D90" s="22"/>
      <c r="E90" s="22"/>
    </row>
    <row r="91" spans="2:21" x14ac:dyDescent="0.2">
      <c r="B91" s="17"/>
      <c r="C91" s="23"/>
      <c r="D91" s="22"/>
      <c r="E91" s="22"/>
    </row>
    <row r="92" spans="2:21" x14ac:dyDescent="0.2">
      <c r="B92" s="17"/>
      <c r="C92" s="23"/>
      <c r="D92" s="22"/>
      <c r="E92" s="22"/>
    </row>
    <row r="93" spans="2:21" ht="15.75" thickBot="1" x14ac:dyDescent="0.25">
      <c r="B93" s="17"/>
      <c r="C93" s="23"/>
      <c r="D93" s="22"/>
      <c r="E93" s="22"/>
      <c r="K93" s="42"/>
      <c r="L93" s="5"/>
      <c r="M93" s="5"/>
    </row>
    <row r="94" spans="2:21" ht="15" thickBot="1" x14ac:dyDescent="0.25">
      <c r="B94" s="32" t="s">
        <v>9</v>
      </c>
      <c r="C94" s="33" t="s">
        <v>6</v>
      </c>
      <c r="D94" s="33" t="s">
        <v>8</v>
      </c>
      <c r="E94" s="34" t="s">
        <v>7</v>
      </c>
      <c r="F94" s="34" t="s">
        <v>50</v>
      </c>
      <c r="G94" s="34" t="s">
        <v>49</v>
      </c>
      <c r="H94" s="34" t="s">
        <v>0</v>
      </c>
      <c r="I94" s="34" t="s">
        <v>48</v>
      </c>
      <c r="J94" s="34" t="s">
        <v>77</v>
      </c>
      <c r="K94" s="35" t="s">
        <v>76</v>
      </c>
      <c r="L94" s="35" t="s">
        <v>78</v>
      </c>
      <c r="M94" s="35" t="s">
        <v>79</v>
      </c>
      <c r="N94" s="35" t="s">
        <v>80</v>
      </c>
      <c r="O94" s="35" t="s">
        <v>81</v>
      </c>
      <c r="P94" s="35" t="s">
        <v>82</v>
      </c>
      <c r="Q94" s="35" t="s">
        <v>12</v>
      </c>
      <c r="R94" s="35" t="s">
        <v>72</v>
      </c>
      <c r="S94" s="36" t="s">
        <v>73</v>
      </c>
      <c r="T94" s="35" t="s">
        <v>74</v>
      </c>
      <c r="U94" s="36" t="s">
        <v>75</v>
      </c>
    </row>
    <row r="95" spans="2:21" x14ac:dyDescent="0.2">
      <c r="B95" s="27">
        <v>0</v>
      </c>
      <c r="C95" s="37">
        <v>0</v>
      </c>
      <c r="D95" s="28">
        <f>$F$17</f>
        <v>8.0039019201444219</v>
      </c>
      <c r="E95" s="28">
        <f>F15</f>
        <v>3.901920144421922E-3</v>
      </c>
      <c r="F95" s="66">
        <f t="shared" ref="F95:F100" si="6">IF(N95&gt;70000,0,(2*10^-34)*N95^6+(5*10^-22)*N95^4+(-2*10^-16)*N95^3+(4*10^-11)*N95^2+(-3*10^-6)*N95+0.0791)</f>
        <v>7.9100000000000004E-2</v>
      </c>
      <c r="G95" s="28">
        <f>$C$23+($C$15-F95)*($C$48*$F$21)</f>
        <v>2050.7726054058453</v>
      </c>
      <c r="H95" s="28">
        <f t="shared" ref="H95:H100" si="7">I95/($F$21*9.8066)</f>
        <v>209.12197598446176</v>
      </c>
      <c r="I95" s="28">
        <f t="shared" ref="I95:I100" si="8">IF(E95&gt;0,$F$21*$C$23+($C$15-F95)*$C$48,0)</f>
        <v>223.59080707617198</v>
      </c>
      <c r="J95" s="28">
        <f t="shared" ref="J95:J100" si="9">($R$10*B95^2)+($R$11*B95)+$R$8</f>
        <v>0</v>
      </c>
      <c r="K95" s="29">
        <f>$F$8</f>
        <v>0</v>
      </c>
      <c r="L95" s="29">
        <f>K95</f>
        <v>0</v>
      </c>
      <c r="M95" s="29">
        <v>0</v>
      </c>
      <c r="N95" s="29">
        <f>$F$10</f>
        <v>0</v>
      </c>
      <c r="O95" s="29">
        <v>0</v>
      </c>
      <c r="P95" s="29">
        <f>N95</f>
        <v>0</v>
      </c>
      <c r="Q95" s="39">
        <f>9.8066*(6378.388/(6378.388+N95/1000))^2</f>
        <v>9.8065999999999995</v>
      </c>
      <c r="R95" s="30"/>
      <c r="S95" s="31"/>
      <c r="T95" s="30"/>
      <c r="U95" s="31"/>
    </row>
    <row r="96" spans="2:21" x14ac:dyDescent="0.2">
      <c r="B96" s="9">
        <f>B95+1</f>
        <v>1</v>
      </c>
      <c r="C96" s="38">
        <f>IF(E96&lt;&gt;0,$F$21/D95,0)</f>
        <v>0</v>
      </c>
      <c r="D96" s="24">
        <f>IF(E96&gt;0,D95-$F$21,$F$18)</f>
        <v>8</v>
      </c>
      <c r="E96" s="24">
        <f>IF(E95-$F$21&gt;0, $F$15-($F$21*(B96-1)), 0)</f>
        <v>0</v>
      </c>
      <c r="F96" s="67">
        <f t="shared" si="6"/>
        <v>7.9100000000000004E-2</v>
      </c>
      <c r="G96" s="68">
        <f>IF(E96&gt;0,$C$23+($C$15-F96)*($C$48*$F$21),0)</f>
        <v>0</v>
      </c>
      <c r="H96" s="68">
        <f t="shared" si="7"/>
        <v>0</v>
      </c>
      <c r="I96" s="68">
        <f t="shared" si="8"/>
        <v>0</v>
      </c>
      <c r="J96" s="68">
        <f t="shared" si="9"/>
        <v>90</v>
      </c>
      <c r="K96" s="8">
        <f>IF(C96=0,K95+R95,IF((((-G95)*LN(1-C96)-(Q96*(B96-B95)) - 0 +K95)*(1-$C$22))&gt;0,(((-G95)*LN(1-C96)-(Q96*(B96-B95)) - 0 +K95)*(1-$C$22)),0))</f>
        <v>0</v>
      </c>
      <c r="L96" s="8">
        <f>IF(C96=0,L95+R95,IF((((-G95)*LN(1-C96)*COS(RADIANS(J96)) - 0 +L95)*(1-$C$22))&gt;0,(((-G95)*LN(1-C96)*COS(RADIANS(J96)) - 0 +L95)*(1-$C$22)),0))</f>
        <v>0</v>
      </c>
      <c r="M96" s="8">
        <f>IF(C96=0,M95+R95,IF((((-G95)*LN(1-C96)*SIN(RADIANS(J96))-(Q96*(B96-B95)) - 0 +M95)*(1-$C$22))&gt;0,(((-G95)*LN(1-C96)*SIN(RADIANS(J96))-(Q96*(B96-B95)) - 0 +M95)*(1-$C$22)),0))</f>
        <v>0</v>
      </c>
      <c r="N96" s="8">
        <f t="shared" ref="N96:P100" si="10">IF(K96+N95&gt;0,K96+N95,0)</f>
        <v>0</v>
      </c>
      <c r="O96" s="8">
        <f t="shared" si="10"/>
        <v>0</v>
      </c>
      <c r="P96" s="8">
        <f t="shared" si="10"/>
        <v>0</v>
      </c>
      <c r="Q96" s="41">
        <f>9.8066*(6378.388/(6378.388+(N95+K95)/1000))^2</f>
        <v>9.8065999999999995</v>
      </c>
      <c r="R96" s="43">
        <f>IF(E96&gt;0,K96-K95,-Q96)</f>
        <v>-9.8065999999999995</v>
      </c>
      <c r="S96" s="72">
        <f>R96/9.81</f>
        <v>-0.9996534148827726</v>
      </c>
      <c r="T96" s="43">
        <f>Q96*((I96*(SIN(RADIANS(J96))/D96))-1)</f>
        <v>-9.8065999999999995</v>
      </c>
      <c r="U96" s="72">
        <f>Q96*(I96*(COS(RADIANS(J96))/D96))</f>
        <v>0</v>
      </c>
    </row>
    <row r="97" spans="2:21" x14ac:dyDescent="0.2">
      <c r="B97" s="9">
        <f>B96+1</f>
        <v>2</v>
      </c>
      <c r="C97" s="38">
        <f>IF(E97&lt;&gt;0,$F$21/D96,0)</f>
        <v>0</v>
      </c>
      <c r="D97" s="24">
        <f>IF(E97&gt;0,D96-$F$21,$F$18)</f>
        <v>8</v>
      </c>
      <c r="E97" s="24">
        <f>IF(E96-$F$21&gt;0, $F$15-($F$21*(B97-1)), 0)</f>
        <v>0</v>
      </c>
      <c r="F97" s="67">
        <f t="shared" si="6"/>
        <v>7.9100000000000004E-2</v>
      </c>
      <c r="G97" s="68">
        <f>IF(E97&gt;0,$C$23+($C$15-F97)*($C$48*$F$21),0)</f>
        <v>0</v>
      </c>
      <c r="H97" s="68">
        <f t="shared" si="7"/>
        <v>0</v>
      </c>
      <c r="I97" s="68">
        <f t="shared" si="8"/>
        <v>0</v>
      </c>
      <c r="J97" s="68">
        <f t="shared" si="9"/>
        <v>0</v>
      </c>
      <c r="K97" s="8">
        <f>IF(C97=0,K96+R96,IF((((-G96)*LN(1-C97)-(Q97*(B97-B96)) - 0 +K96)*(1-$C$22))&gt;0,(((-G96)*LN(1-C97)-(Q97*(B97-B96)) - 0 +K96)*(1-$C$22)),0))</f>
        <v>-9.8065999999999995</v>
      </c>
      <c r="L97" s="8">
        <f>IF(C97=0,L96+R96,IF((((-G96)*LN(1-C97)*COS(RADIANS(J97)) - 0 +L96)*(1-$C$22))&gt;0,(((-G96)*LN(1-C97)*COS(RADIANS(J97)) - 0 +L96)*(1-$C$22)),0))</f>
        <v>-9.8065999999999995</v>
      </c>
      <c r="M97" s="8">
        <f>IF(C97=0,M96+R96,IF((((-G96)*LN(1-C97)*SIN(RADIANS(J97))-(Q97*(B97-B96)) - 0 +M96)*(1-$C$22))&gt;0,(((-G96)*LN(1-C97)*SIN(RADIANS(J97))-(Q97*(B97-B96)) - 0 +M96)*(1-$C$22)),0))</f>
        <v>-9.8065999999999995</v>
      </c>
      <c r="N97" s="8">
        <f t="shared" si="10"/>
        <v>0</v>
      </c>
      <c r="O97" s="8">
        <f t="shared" si="10"/>
        <v>0</v>
      </c>
      <c r="P97" s="8">
        <f t="shared" si="10"/>
        <v>0</v>
      </c>
      <c r="Q97" s="41">
        <f>9.8066*(6378.388/(6378.388+(N96+K96)/1000))^2</f>
        <v>9.8065999999999995</v>
      </c>
      <c r="R97" s="43">
        <f>IF(E97&gt;0,K97-K96,-Q97)</f>
        <v>-9.8065999999999995</v>
      </c>
      <c r="S97" s="72">
        <f>R97/9.81</f>
        <v>-0.9996534148827726</v>
      </c>
      <c r="T97" s="43">
        <f>Q97*((I97*(SIN(RADIANS(J97))/D97))-1)</f>
        <v>-9.8065999999999995</v>
      </c>
      <c r="U97" s="72"/>
    </row>
    <row r="98" spans="2:21" x14ac:dyDescent="0.2">
      <c r="B98" s="9">
        <f>B97+1</f>
        <v>3</v>
      </c>
      <c r="C98" s="38">
        <f>IF(E98&lt;&gt;0,$F$21/D97,0)</f>
        <v>0</v>
      </c>
      <c r="D98" s="24">
        <f>IF(E98&gt;0,D97-$F$21,$F$18)</f>
        <v>8</v>
      </c>
      <c r="E98" s="24">
        <f>IF(E97-$F$21&gt;0, $F$15-($F$21*(B98-1)), 0)</f>
        <v>0</v>
      </c>
      <c r="F98" s="67">
        <f t="shared" si="6"/>
        <v>7.9100000000000004E-2</v>
      </c>
      <c r="G98" s="68">
        <f>IF(E98&gt;0,$C$23+($C$15-F98)*($C$48*$F$21),0)</f>
        <v>0</v>
      </c>
      <c r="H98" s="68">
        <f t="shared" si="7"/>
        <v>0</v>
      </c>
      <c r="I98" s="68">
        <f t="shared" si="8"/>
        <v>0</v>
      </c>
      <c r="J98" s="68">
        <f t="shared" si="9"/>
        <v>-270</v>
      </c>
      <c r="K98" s="8">
        <f>IF(C98=0,K97+R97,IF((((-G97)*LN(1-C98)-(Q98*(B98-B97)) - 0 +K97)*(1-$C$22))&gt;0,(((-G97)*LN(1-C98)-(Q98*(B98-B97)) - 0 +K97)*(1-$C$22)),0))</f>
        <v>-19.613199999999999</v>
      </c>
      <c r="L98" s="8">
        <f>IF(C98=0,L97+R97,IF((((-G97)*LN(1-C98)*COS(RADIANS(J98)) - 0 +L97)*(1-$C$22))&gt;0,(((-G97)*LN(1-C98)*COS(RADIANS(J98)) - 0 +L97)*(1-$C$22)),0))</f>
        <v>-19.613199999999999</v>
      </c>
      <c r="M98" s="8">
        <f>IF(C98=0,M97+R97,IF((((-G97)*LN(1-C98)*SIN(RADIANS(J98))-(Q98*(B98-B97)) - 0 +M97)*(1-$C$22))&gt;0,(((-G97)*LN(1-C98)*SIN(RADIANS(J98))-(Q98*(B98-B97)) - 0 +M97)*(1-$C$22)),0))</f>
        <v>-19.613199999999999</v>
      </c>
      <c r="N98" s="8">
        <f t="shared" si="10"/>
        <v>0</v>
      </c>
      <c r="O98" s="8">
        <f t="shared" si="10"/>
        <v>0</v>
      </c>
      <c r="P98" s="8">
        <f t="shared" si="10"/>
        <v>0</v>
      </c>
      <c r="Q98" s="41">
        <f>9.8066*(6378.388/(6378.388+(N97+K97)/1000))^2</f>
        <v>9.8066301548370358</v>
      </c>
      <c r="R98" s="43">
        <f>IF(E98&gt;0,K98-K97,-Q98)</f>
        <v>-9.8066301548370358</v>
      </c>
      <c r="S98" s="72">
        <f>R98/9.81</f>
        <v>-0.99965648877033997</v>
      </c>
      <c r="T98" s="43">
        <f>Q98*((I98*(SIN(RADIANS(J98))/D98))-1)</f>
        <v>-9.8066301548370358</v>
      </c>
      <c r="U98" s="72"/>
    </row>
    <row r="99" spans="2:21" x14ac:dyDescent="0.2">
      <c r="B99" s="9">
        <f>B98+1</f>
        <v>4</v>
      </c>
      <c r="C99" s="38">
        <f>IF(E99&lt;&gt;0,$F$21/D98,0)</f>
        <v>0</v>
      </c>
      <c r="D99" s="24">
        <f>IF(E99&gt;0,D98-$F$21,$F$18)</f>
        <v>8</v>
      </c>
      <c r="E99" s="24">
        <f>IF(E98-$F$21&gt;0, $F$15-($F$21*(B99-1)), 0)</f>
        <v>0</v>
      </c>
      <c r="F99" s="67">
        <f t="shared" si="6"/>
        <v>7.9100000000000004E-2</v>
      </c>
      <c r="G99" s="68">
        <f>IF(E99&gt;0,$C$23+($C$15-F99)*($C$48*$F$21),0)</f>
        <v>0</v>
      </c>
      <c r="H99" s="68">
        <f t="shared" si="7"/>
        <v>0</v>
      </c>
      <c r="I99" s="68">
        <f t="shared" si="8"/>
        <v>0</v>
      </c>
      <c r="J99" s="68">
        <f t="shared" si="9"/>
        <v>-720</v>
      </c>
      <c r="K99" s="8">
        <f>IF(C99=0,K98+R98,IF((((-G98)*LN(1-C99)-(Q99*(B99-B98)) - 0 +K98)*(1-$C$22))&gt;0,(((-G98)*LN(1-C99)-(Q99*(B99-B98)) - 0 +K98)*(1-$C$22)),0))</f>
        <v>-29.419830154837037</v>
      </c>
      <c r="L99" s="8">
        <f>IF(C99=0,L98+R98,IF((((-G98)*LN(1-C99)*COS(RADIANS(J99)) - 0 +L98)*(1-$C$22))&gt;0,(((-G98)*LN(1-C99)*COS(RADIANS(J99)) - 0 +L98)*(1-$C$22)),0))</f>
        <v>-29.419830154837037</v>
      </c>
      <c r="M99" s="8">
        <f>IF(C99=0,M98+R98,IF((((-G98)*LN(1-C99)*SIN(RADIANS(J99))-(Q99*(B99-B98)) - 0 +M98)*(1-$C$22))&gt;0,(((-G98)*LN(1-C99)*SIN(RADIANS(J99))-(Q99*(B99-B98)) - 0 +M98)*(1-$C$22)),0))</f>
        <v>-29.419830154837037</v>
      </c>
      <c r="N99" s="8">
        <f t="shared" si="10"/>
        <v>0</v>
      </c>
      <c r="O99" s="8">
        <f t="shared" si="10"/>
        <v>0</v>
      </c>
      <c r="P99" s="8">
        <f t="shared" si="10"/>
        <v>0</v>
      </c>
      <c r="Q99" s="41">
        <f>9.8066*(6378.388/(6378.388+(N98+K98)/1000))^2</f>
        <v>9.8066603098131591</v>
      </c>
      <c r="R99" s="43">
        <f>IF(E99&gt;0,K99-K98,-Q99)</f>
        <v>-9.8066603098131591</v>
      </c>
      <c r="S99" s="72">
        <f>R99/9.81</f>
        <v>-0.99965956267208544</v>
      </c>
      <c r="T99" s="43">
        <f>Q99*((I99*(SIN(RADIANS(J99))/D99))-1)</f>
        <v>-9.8066603098131591</v>
      </c>
      <c r="U99" s="72"/>
    </row>
    <row r="100" spans="2:21" x14ac:dyDescent="0.2">
      <c r="B100" s="9">
        <f>B99+1</f>
        <v>5</v>
      </c>
      <c r="C100" s="38">
        <f>IF(E100&lt;&gt;0,$F$21/D99,0)</f>
        <v>0</v>
      </c>
      <c r="D100" s="24">
        <f>IF(E100&gt;0,D99-$F$21,$F$18)</f>
        <v>8</v>
      </c>
      <c r="E100" s="24">
        <f>IF(E99-$F$21&gt;0, $F$15-($F$21*(B100-1)), 0)</f>
        <v>0</v>
      </c>
      <c r="F100" s="67">
        <f t="shared" si="6"/>
        <v>7.9100000000000004E-2</v>
      </c>
      <c r="G100" s="68">
        <f>IF(E100&gt;0,$C$23+($C$15-F100)*($C$48*$F$21),0)</f>
        <v>0</v>
      </c>
      <c r="H100" s="68">
        <f t="shared" si="7"/>
        <v>0</v>
      </c>
      <c r="I100" s="68">
        <f t="shared" si="8"/>
        <v>0</v>
      </c>
      <c r="J100" s="68">
        <f t="shared" si="9"/>
        <v>-1350</v>
      </c>
      <c r="K100" s="8">
        <f>IF(C100=0,K99+R99,IF((((-G99)*LN(1-C100)-(Q100*(B100-B99)) - 0 +K99)*(1-$C$22))&gt;0,(((-G99)*LN(1-C100)-(Q100*(B100-B99)) - 0 +K99)*(1-$C$22)),0))</f>
        <v>-39.226490464650198</v>
      </c>
      <c r="L100" s="8">
        <f>IF(C100=0,L99+R99,IF((((-G99)*LN(1-C100)*COS(RADIANS(J100)) - 0 +L99)*(1-$C$22))&gt;0,(((-G99)*LN(1-C100)*COS(RADIANS(J100)) - 0 +L99)*(1-$C$22)),0))</f>
        <v>-39.226490464650198</v>
      </c>
      <c r="M100" s="8">
        <f>IF(C100=0,M99+R99,IF((((-G99)*LN(1-C100)*SIN(RADIANS(J100))-(Q100*(B100-B99)) - 0 +M99)*(1-$C$22))&gt;0,(((-G99)*LN(1-C100)*SIN(RADIANS(J100))-(Q100*(B100-B99)) - 0 +M99)*(1-$C$22)),0))</f>
        <v>-39.226490464650198</v>
      </c>
      <c r="N100" s="8">
        <f t="shared" si="10"/>
        <v>0</v>
      </c>
      <c r="O100" s="8">
        <f t="shared" si="10"/>
        <v>0</v>
      </c>
      <c r="P100" s="8">
        <f t="shared" si="10"/>
        <v>0</v>
      </c>
      <c r="Q100" s="41">
        <f>9.8066*(6378.388/(6378.388+(N99+K99)/1000))^2</f>
        <v>9.8066904650210986</v>
      </c>
      <c r="R100" s="43">
        <f>IF(E100&gt;0,K100-K99,-Q100)</f>
        <v>-9.8066904650210986</v>
      </c>
      <c r="S100" s="72">
        <f>R100/9.81</f>
        <v>-0.99966263659746157</v>
      </c>
      <c r="T100" s="43">
        <f>Q100*((I100*(SIN(RADIANS(J100))/D100))-1)</f>
        <v>-9.8066904650210986</v>
      </c>
      <c r="U100" s="72"/>
    </row>
  </sheetData>
  <mergeCells count="4">
    <mergeCell ref="C2:G2"/>
    <mergeCell ref="AC3:AE3"/>
    <mergeCell ref="AG2:AJ2"/>
    <mergeCell ref="B4:G6"/>
  </mergeCells>
  <hyperlinks>
    <hyperlink ref="B8" location="Glossary!A18" display="Specific Heat Ratio (k)"/>
    <hyperlink ref="D13" location="Glossary!A3" display="Pascal (Pa)"/>
    <hyperlink ref="D15" location="Glossary!A3" display="Pascal (Pa)"/>
    <hyperlink ref="D21" location="Glossary!A3" display="Pascal (Pa)"/>
    <hyperlink ref="D17" location="Glossary!A3" display="Pascal (Pa)"/>
    <hyperlink ref="E33" location="Glossary!A18" display="Specific Heat Ratio (k)"/>
    <hyperlink ref="E34" location="Glossary!A18" display="Specific Heat Ratio (k)"/>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FE153"/>
  <sheetViews>
    <sheetView topLeftCell="J1" zoomScale="85" zoomScaleNormal="85" zoomScaleSheetLayoutView="70" workbookViewId="0">
      <selection activeCell="P35" sqref="P35:P36"/>
    </sheetView>
  </sheetViews>
  <sheetFormatPr defaultRowHeight="12.75" x14ac:dyDescent="0.2"/>
  <cols>
    <col min="1" max="1" width="30.140625" customWidth="1"/>
    <col min="2" max="2" width="24" customWidth="1"/>
    <col min="3" max="3" width="13" bestFit="1" customWidth="1"/>
    <col min="4" max="4" width="8.42578125" bestFit="1" customWidth="1"/>
    <col min="5" max="5" width="19.28515625" customWidth="1"/>
    <col min="6" max="6" width="10.85546875" bestFit="1" customWidth="1"/>
    <col min="7" max="7" width="9.7109375" bestFit="1" customWidth="1"/>
    <col min="9" max="10" width="9.7109375" bestFit="1" customWidth="1"/>
    <col min="12" max="12" width="55.28515625" bestFit="1" customWidth="1"/>
    <col min="13" max="13" width="13.42578125" bestFit="1" customWidth="1"/>
    <col min="14" max="14" width="19.28515625" bestFit="1" customWidth="1"/>
    <col min="15" max="15" width="24.42578125" bestFit="1" customWidth="1"/>
    <col min="16" max="16" width="35.42578125" customWidth="1"/>
    <col min="17" max="17" width="18" bestFit="1" customWidth="1"/>
    <col min="18" max="18" width="17" bestFit="1" customWidth="1"/>
    <col min="22" max="22" width="9.7109375" bestFit="1" customWidth="1"/>
  </cols>
  <sheetData>
    <row r="2" spans="2:22" x14ac:dyDescent="0.2">
      <c r="F2" s="15"/>
      <c r="L2" s="6" t="s">
        <v>295</v>
      </c>
      <c r="O2" s="6" t="s">
        <v>264</v>
      </c>
    </row>
    <row r="3" spans="2:22" x14ac:dyDescent="0.2">
      <c r="E3" s="6"/>
      <c r="F3" s="6"/>
      <c r="G3" s="6"/>
      <c r="L3" s="106" t="s">
        <v>238</v>
      </c>
      <c r="M3">
        <f>1 + 3/8</f>
        <v>1.375</v>
      </c>
      <c r="N3" s="106" t="s">
        <v>84</v>
      </c>
      <c r="O3" s="193">
        <f>CONVERT(M3,"in","mm")</f>
        <v>34.924999999999997</v>
      </c>
      <c r="P3" s="253">
        <f>O3-0.25</f>
        <v>34.674999999999997</v>
      </c>
      <c r="Q3" s="193">
        <f>O3+0.25</f>
        <v>35.174999999999997</v>
      </c>
      <c r="R3" s="106"/>
    </row>
    <row r="4" spans="2:22" x14ac:dyDescent="0.2">
      <c r="L4" t="s">
        <v>124</v>
      </c>
      <c r="M4">
        <f>3/16</f>
        <v>0.1875</v>
      </c>
      <c r="N4" t="s">
        <v>84</v>
      </c>
      <c r="O4" s="193">
        <f>CONVERT(M4,"in","mm")</f>
        <v>4.7625000000000002</v>
      </c>
      <c r="P4" s="193">
        <f>O4/2</f>
        <v>2.3812500000000001</v>
      </c>
      <c r="Q4" s="134"/>
      <c r="R4" s="193"/>
    </row>
    <row r="5" spans="2:22" x14ac:dyDescent="0.2">
      <c r="L5" s="162" t="s">
        <v>234</v>
      </c>
      <c r="M5" s="277" t="s">
        <v>235</v>
      </c>
      <c r="P5" s="106"/>
      <c r="Q5" s="129"/>
      <c r="R5" s="106"/>
    </row>
    <row r="6" spans="2:22" x14ac:dyDescent="0.2">
      <c r="L6" s="162" t="s">
        <v>239</v>
      </c>
      <c r="M6" s="162">
        <f>0.4688/2</f>
        <v>0.2344</v>
      </c>
      <c r="N6" s="106" t="s">
        <v>84</v>
      </c>
      <c r="O6" s="193">
        <f>CONVERT(M6,"in","mm")</f>
        <v>5.9537599999999999</v>
      </c>
      <c r="P6" s="253"/>
      <c r="Q6" s="128">
        <f>CONVERT((1/4),"in","mm")</f>
        <v>6.35</v>
      </c>
      <c r="R6" s="106"/>
      <c r="T6" s="162">
        <f>0.4062/2</f>
        <v>0.2031</v>
      </c>
      <c r="U6" s="106" t="s">
        <v>84</v>
      </c>
      <c r="V6" s="193">
        <f>CONVERT(T6,"in","mm")</f>
        <v>5.1587399999999999</v>
      </c>
    </row>
    <row r="7" spans="2:22" x14ac:dyDescent="0.2">
      <c r="L7" s="106" t="s">
        <v>310</v>
      </c>
      <c r="M7">
        <f>0.5</f>
        <v>0.5</v>
      </c>
      <c r="N7" s="106" t="s">
        <v>84</v>
      </c>
      <c r="O7" s="193">
        <f>CONVERT(M7,"in","mm")</f>
        <v>12.7</v>
      </c>
      <c r="P7" s="193">
        <f>O7-O4</f>
        <v>7.9374999999999991</v>
      </c>
      <c r="Q7">
        <f>P7/2+O4</f>
        <v>8.7312499999999993</v>
      </c>
    </row>
    <row r="8" spans="2:22" x14ac:dyDescent="0.2">
      <c r="L8" s="106" t="s">
        <v>262</v>
      </c>
      <c r="M8" s="253">
        <f>M6+5/32</f>
        <v>0.39065</v>
      </c>
      <c r="N8" s="106" t="s">
        <v>84</v>
      </c>
      <c r="O8" s="193">
        <f>CONVERT(M8,"in","mm")</f>
        <v>9.9225100000000008</v>
      </c>
      <c r="P8" s="106">
        <f>O8+0.5*P13</f>
        <v>10.555026115480635</v>
      </c>
      <c r="Q8" s="254">
        <f>O8-P13</f>
        <v>8.657477769038735</v>
      </c>
      <c r="R8" s="265">
        <f>Q8-Q6</f>
        <v>2.3074777690387354</v>
      </c>
      <c r="S8">
        <f>P8+P13</f>
        <v>11.8200583464419</v>
      </c>
      <c r="V8" s="193">
        <f>O7-2</f>
        <v>10.7</v>
      </c>
    </row>
    <row r="9" spans="2:22" x14ac:dyDescent="0.2">
      <c r="L9" s="106" t="s">
        <v>285</v>
      </c>
      <c r="M9" s="193">
        <f>(M13/M10)*0.5</f>
        <v>1.6601472847260709E-2</v>
      </c>
      <c r="N9" s="106" t="s">
        <v>84</v>
      </c>
      <c r="O9" s="193">
        <f>CONVERT(M9,"in","mm")</f>
        <v>0.42167741032042194</v>
      </c>
      <c r="P9" s="106"/>
      <c r="Q9" s="129"/>
      <c r="R9" s="106"/>
      <c r="V9">
        <f>O6/V6</f>
        <v>1.1541112752338749</v>
      </c>
    </row>
    <row r="10" spans="2:22" x14ac:dyDescent="0.2">
      <c r="L10" s="106" t="s">
        <v>236</v>
      </c>
      <c r="M10">
        <v>3</v>
      </c>
      <c r="N10" s="106"/>
      <c r="P10" s="106"/>
      <c r="Q10" s="129"/>
      <c r="R10" s="106"/>
    </row>
    <row r="11" spans="2:22" x14ac:dyDescent="0.2">
      <c r="B11" s="290"/>
      <c r="C11" s="290"/>
      <c r="F11" s="290"/>
      <c r="G11" s="290"/>
      <c r="H11" s="290"/>
      <c r="L11" s="106" t="s">
        <v>268</v>
      </c>
      <c r="M11">
        <v>40</v>
      </c>
      <c r="N11" s="106" t="s">
        <v>68</v>
      </c>
      <c r="P11" s="106"/>
      <c r="Q11" s="129"/>
      <c r="R11" s="253"/>
    </row>
    <row r="12" spans="2:22" x14ac:dyDescent="0.2">
      <c r="L12" s="7" t="s">
        <v>269</v>
      </c>
      <c r="M12" s="226">
        <f>M8/TAN(RADIANS(M11))-CONVERT(2,"mm","in")</f>
        <v>0.38681838346661324</v>
      </c>
      <c r="N12" s="7" t="s">
        <v>84</v>
      </c>
      <c r="O12" s="193">
        <f>CONVERT(M12,"in","mm")</f>
        <v>9.8251869400519762</v>
      </c>
      <c r="P12" s="6"/>
    </row>
    <row r="13" spans="2:22" x14ac:dyDescent="0.2">
      <c r="L13" s="106" t="s">
        <v>240</v>
      </c>
      <c r="M13" s="193">
        <f>VesselCharacteristics!F60</f>
        <v>9.9608837083564258E-2</v>
      </c>
      <c r="N13" s="106" t="s">
        <v>84</v>
      </c>
      <c r="O13" s="193">
        <f>CONVERT(M13,"in","mm")</f>
        <v>2.5300644619225325</v>
      </c>
      <c r="P13" s="106">
        <f>O13/2</f>
        <v>1.2650322309612663</v>
      </c>
      <c r="Q13" s="122">
        <f>O4-O13</f>
        <v>2.2324355380774676</v>
      </c>
      <c r="R13" s="131">
        <f>P13+1.25</f>
        <v>2.5150322309612663</v>
      </c>
    </row>
    <row r="14" spans="2:22" x14ac:dyDescent="0.2">
      <c r="L14" s="106" t="s">
        <v>263</v>
      </c>
      <c r="M14" s="193">
        <f>1.25*0.5+M26+1/8</f>
        <v>0.91949999999999998</v>
      </c>
      <c r="N14" s="106" t="s">
        <v>84</v>
      </c>
      <c r="O14" s="193">
        <f>CONVERT(M14,"in","mm")</f>
        <v>23.3553</v>
      </c>
      <c r="P14" s="253">
        <f>5+O4</f>
        <v>9.7624999999999993</v>
      </c>
      <c r="Q14" s="130"/>
    </row>
    <row r="15" spans="2:22" x14ac:dyDescent="0.2">
      <c r="L15" s="106" t="s">
        <v>237</v>
      </c>
      <c r="M15" s="106" t="str">
        <f>M25</f>
        <v>1/8 NPT F</v>
      </c>
      <c r="P15" s="106"/>
      <c r="R15" s="106"/>
      <c r="T15">
        <f>5/7</f>
        <v>0.7142857142857143</v>
      </c>
    </row>
    <row r="16" spans="2:22" x14ac:dyDescent="0.2">
      <c r="L16" s="106" t="s">
        <v>267</v>
      </c>
      <c r="M16" s="106">
        <f>M26</f>
        <v>0.16950000000000001</v>
      </c>
      <c r="N16" s="106" t="str">
        <f>N26</f>
        <v>inches (R drill)</v>
      </c>
      <c r="O16" s="253">
        <f>CONVERT(M16,"in","mm")</f>
        <v>4.3052999999999999</v>
      </c>
      <c r="P16" s="253"/>
      <c r="T16" t="s">
        <v>386</v>
      </c>
    </row>
    <row r="17" spans="1:22" x14ac:dyDescent="0.2">
      <c r="L17" s="106" t="s">
        <v>265</v>
      </c>
      <c r="M17" s="253">
        <f>M8+2/8</f>
        <v>0.64064999999999994</v>
      </c>
      <c r="N17" s="106" t="s">
        <v>84</v>
      </c>
      <c r="O17" s="193">
        <f>CONVERT(M17,"in","mm")</f>
        <v>16.27251</v>
      </c>
      <c r="P17" s="106">
        <f>O17+0.5*O23</f>
        <v>16.978531965594698</v>
      </c>
      <c r="Q17">
        <f>P23+1.25</f>
        <v>1.9560219655946975</v>
      </c>
    </row>
    <row r="18" spans="1:22" x14ac:dyDescent="0.2">
      <c r="L18" s="106" t="s">
        <v>284</v>
      </c>
      <c r="M18" s="193">
        <f>(M23/M20)*0.5</f>
        <v>1.3898070188872E-2</v>
      </c>
      <c r="N18" s="106" t="s">
        <v>84</v>
      </c>
      <c r="O18" s="193">
        <f>CONVERT(M18,"in","mm")</f>
        <v>0.35301098279734877</v>
      </c>
      <c r="P18" s="106"/>
    </row>
    <row r="19" spans="1:22" x14ac:dyDescent="0.2">
      <c r="L19" s="106" t="s">
        <v>283</v>
      </c>
      <c r="M19">
        <f>0.096/2</f>
        <v>4.8000000000000001E-2</v>
      </c>
      <c r="N19" s="106" t="s">
        <v>291</v>
      </c>
      <c r="O19" s="193">
        <f>CONVERT(M19,"in","mm")</f>
        <v>1.2192000000000001</v>
      </c>
      <c r="P19" s="106"/>
      <c r="Q19" s="133"/>
      <c r="R19" s="106"/>
    </row>
    <row r="20" spans="1:22" x14ac:dyDescent="0.2">
      <c r="L20" s="106" t="s">
        <v>241</v>
      </c>
      <c r="M20">
        <v>2</v>
      </c>
      <c r="N20" s="106"/>
      <c r="O20" s="193">
        <f>CONVERT(M20,"in","mm")</f>
        <v>50.8</v>
      </c>
      <c r="R20" s="106"/>
    </row>
    <row r="21" spans="1:22" x14ac:dyDescent="0.2">
      <c r="L21" s="106" t="s">
        <v>270</v>
      </c>
      <c r="M21">
        <v>60</v>
      </c>
      <c r="N21" s="106" t="s">
        <v>68</v>
      </c>
      <c r="P21" s="106"/>
      <c r="Q21" s="131"/>
      <c r="R21" s="253"/>
    </row>
    <row r="22" spans="1:22" x14ac:dyDescent="0.2">
      <c r="L22" s="7" t="s">
        <v>271</v>
      </c>
      <c r="M22" s="226">
        <f>M17/TAN(RADIANS(M21))-CONVERT(2,"mm","in")</f>
        <v>0.29113929247601888</v>
      </c>
      <c r="N22" s="7" t="s">
        <v>84</v>
      </c>
      <c r="O22" s="193">
        <f>CONVERT(M22,"in","mm")</f>
        <v>7.3949380288908797</v>
      </c>
      <c r="P22" s="106"/>
      <c r="Q22" s="127"/>
      <c r="R22" s="106"/>
    </row>
    <row r="23" spans="1:22" x14ac:dyDescent="0.2">
      <c r="L23" s="106" t="s">
        <v>242</v>
      </c>
      <c r="M23" s="193">
        <f>VesselCharacteristics!F56</f>
        <v>5.5592280755487999E-2</v>
      </c>
      <c r="N23" s="106" t="s">
        <v>84</v>
      </c>
      <c r="O23" s="193">
        <f>CONVERT(M23,"in","mm")</f>
        <v>1.4120439311893951</v>
      </c>
      <c r="P23" s="106">
        <f>O23/2</f>
        <v>0.70602196559469754</v>
      </c>
      <c r="R23" s="106"/>
    </row>
    <row r="24" spans="1:22" x14ac:dyDescent="0.2">
      <c r="L24" s="106" t="s">
        <v>272</v>
      </c>
      <c r="M24" s="193">
        <f>M14+1/8</f>
        <v>1.0445</v>
      </c>
      <c r="N24" s="106" t="s">
        <v>84</v>
      </c>
      <c r="O24" s="193">
        <f>CONVERT(M24,"in","mm")</f>
        <v>26.5303</v>
      </c>
      <c r="P24" s="106"/>
      <c r="R24" s="106"/>
    </row>
    <row r="25" spans="1:22" x14ac:dyDescent="0.2">
      <c r="L25" s="106" t="s">
        <v>273</v>
      </c>
      <c r="M25" s="106" t="s">
        <v>275</v>
      </c>
      <c r="P25" s="106"/>
      <c r="R25" s="106"/>
    </row>
    <row r="26" spans="1:22" x14ac:dyDescent="0.2">
      <c r="L26" s="106" t="s">
        <v>274</v>
      </c>
      <c r="M26">
        <f xml:space="preserve">  0.339/2</f>
        <v>0.16950000000000001</v>
      </c>
      <c r="N26" s="106" t="s">
        <v>276</v>
      </c>
      <c r="O26" s="193">
        <f>CONVERT(M26,"in","mm")</f>
        <v>4.3052999999999999</v>
      </c>
      <c r="P26" s="253"/>
      <c r="Q26" s="129"/>
      <c r="R26" s="106">
        <f>CONVERT(0.339,"in","mm")</f>
        <v>8.6105999999999998</v>
      </c>
      <c r="T26">
        <v>53.62</v>
      </c>
      <c r="V26">
        <v>54.32</v>
      </c>
    </row>
    <row r="27" spans="1:22" x14ac:dyDescent="0.2">
      <c r="A27">
        <f>360/6</f>
        <v>60</v>
      </c>
      <c r="L27" s="106" t="s">
        <v>266</v>
      </c>
      <c r="M27" s="133">
        <f>VesselCharacteristics!AJ8*0.5</f>
        <v>0.86815052589820418</v>
      </c>
      <c r="N27" s="106" t="s">
        <v>84</v>
      </c>
      <c r="O27" s="193">
        <f>CONVERT(M27,"in","mm")</f>
        <v>22.051023357814387</v>
      </c>
      <c r="P27" s="106"/>
      <c r="Q27" s="134"/>
      <c r="R27" s="106"/>
      <c r="T27">
        <v>48.01</v>
      </c>
      <c r="V27">
        <v>47.3</v>
      </c>
    </row>
    <row r="28" spans="1:22" x14ac:dyDescent="0.2">
      <c r="A28">
        <f>45/2</f>
        <v>22.5</v>
      </c>
      <c r="L28" s="106" t="s">
        <v>279</v>
      </c>
      <c r="M28" s="106" t="s">
        <v>286</v>
      </c>
      <c r="N28" s="106" t="s">
        <v>287</v>
      </c>
      <c r="P28" s="106"/>
      <c r="R28" s="106"/>
      <c r="T28">
        <f>T26-T27</f>
        <v>5.6099999999999994</v>
      </c>
      <c r="U28">
        <f>T28*1.25</f>
        <v>7.0124999999999993</v>
      </c>
      <c r="V28">
        <f>V26-V27</f>
        <v>7.0200000000000031</v>
      </c>
    </row>
    <row r="29" spans="1:22" x14ac:dyDescent="0.2">
      <c r="A29">
        <f>90-A28</f>
        <v>67.5</v>
      </c>
      <c r="L29" s="106" t="s">
        <v>278</v>
      </c>
      <c r="M29" s="133">
        <f>1.739/2</f>
        <v>0.86950000000000005</v>
      </c>
      <c r="N29" s="106" t="s">
        <v>84</v>
      </c>
      <c r="O29" s="193">
        <f>CONVERT(M29,"in","mm")</f>
        <v>22.0853</v>
      </c>
      <c r="P29" s="224"/>
      <c r="R29" s="106"/>
      <c r="T29">
        <f>R26/T28</f>
        <v>1.5348663101604278</v>
      </c>
    </row>
    <row r="30" spans="1:22" x14ac:dyDescent="0.2">
      <c r="J30">
        <f>7/32</f>
        <v>0.21875</v>
      </c>
      <c r="L30" s="106" t="s">
        <v>277</v>
      </c>
      <c r="M30">
        <f>1.88/2</f>
        <v>0.94</v>
      </c>
      <c r="N30" s="106" t="s">
        <v>84</v>
      </c>
      <c r="O30" s="193">
        <f>CONVERT(M30,"in","mm")</f>
        <v>23.876000000000001</v>
      </c>
      <c r="P30" s="255"/>
      <c r="Q30" s="128"/>
      <c r="R30" s="128"/>
    </row>
    <row r="31" spans="1:22" x14ac:dyDescent="0.2">
      <c r="A31">
        <v>-0.23300000000000001</v>
      </c>
      <c r="L31" s="106" t="s">
        <v>309</v>
      </c>
      <c r="M31">
        <f>1/32</f>
        <v>3.125E-2</v>
      </c>
      <c r="N31" s="106" t="s">
        <v>84</v>
      </c>
      <c r="O31" s="193">
        <f>CONVERT(M31,"in","mm")</f>
        <v>0.79374999999999996</v>
      </c>
      <c r="P31" s="193">
        <f>O31*0.8</f>
        <v>0.63500000000000001</v>
      </c>
      <c r="Q31">
        <f>P31/2</f>
        <v>0.3175</v>
      </c>
      <c r="R31" s="106"/>
    </row>
    <row r="32" spans="1:22" x14ac:dyDescent="0.2">
      <c r="L32" s="106" t="s">
        <v>280</v>
      </c>
      <c r="M32" s="131">
        <f>CONVERT(O32,"mm","in")</f>
        <v>1.1719685039370078</v>
      </c>
      <c r="N32" s="106" t="s">
        <v>84</v>
      </c>
      <c r="O32" s="193">
        <f>29.768</f>
        <v>29.768000000000001</v>
      </c>
      <c r="P32" s="253">
        <f>O32-O34</f>
        <v>26.872399999999999</v>
      </c>
      <c r="Q32" s="253">
        <f>O32+O34</f>
        <v>32.663600000000002</v>
      </c>
    </row>
    <row r="33" spans="9:24" x14ac:dyDescent="0.2">
      <c r="L33" s="106" t="s">
        <v>281</v>
      </c>
      <c r="M33" s="127" t="s">
        <v>377</v>
      </c>
      <c r="N33" s="106"/>
      <c r="P33" s="106"/>
      <c r="Q33">
        <f>Q34*2</f>
        <v>4.3281599999999996</v>
      </c>
      <c r="R33" s="106">
        <f>R34/Q33</f>
        <v>1.25</v>
      </c>
      <c r="S33">
        <f>S34/Q33</f>
        <v>1.5258215962441317</v>
      </c>
      <c r="X33">
        <f>33.07026-26.46573</f>
        <v>6.6045299999999969</v>
      </c>
    </row>
    <row r="34" spans="9:24" x14ac:dyDescent="0.2">
      <c r="L34" s="106" t="s">
        <v>282</v>
      </c>
      <c r="M34">
        <f>0.228/2</f>
        <v>0.114</v>
      </c>
      <c r="N34" s="106" t="s">
        <v>84</v>
      </c>
      <c r="O34" s="193">
        <f>CONVERT(M34,"in","mm")</f>
        <v>2.8956</v>
      </c>
      <c r="P34" s="253">
        <f>(0.213*0.8)/2</f>
        <v>8.5199999999999998E-2</v>
      </c>
      <c r="Q34">
        <f>CONVERT(P34,"in","mm")</f>
        <v>2.1640799999999998</v>
      </c>
      <c r="R34" s="106">
        <f>CONVERT(0.213,"in","mm")</f>
        <v>5.4101999999999997</v>
      </c>
      <c r="S34">
        <f>CONVERT(0.26,"in","mm")</f>
        <v>6.6040000000000001</v>
      </c>
      <c r="T34">
        <f>S34/R34</f>
        <v>1.2206572769953052</v>
      </c>
      <c r="V34">
        <f>(CONVERT(0.25,"in","mm")*1.25)</f>
        <v>7.9375</v>
      </c>
    </row>
    <row r="35" spans="9:24" x14ac:dyDescent="0.2">
      <c r="M35" s="106"/>
      <c r="N35" s="106"/>
      <c r="P35" s="99">
        <f>O34*1.15</f>
        <v>3.3299399999999997</v>
      </c>
      <c r="Q35" s="129">
        <f>P35/O34</f>
        <v>1.1499999999999999</v>
      </c>
      <c r="S35">
        <f>O34*2</f>
        <v>5.7911999999999999</v>
      </c>
      <c r="T35">
        <f>S34*2</f>
        <v>13.208</v>
      </c>
      <c r="V35">
        <f>V34/T35</f>
        <v>0.60096153846153844</v>
      </c>
    </row>
    <row r="37" spans="9:24" x14ac:dyDescent="0.2">
      <c r="L37" s="6" t="s">
        <v>296</v>
      </c>
      <c r="O37" s="6" t="s">
        <v>298</v>
      </c>
      <c r="P37" s="6"/>
      <c r="S37" s="193"/>
    </row>
    <row r="38" spans="9:24" x14ac:dyDescent="0.2">
      <c r="L38" s="106" t="s">
        <v>317</v>
      </c>
      <c r="M38">
        <v>10</v>
      </c>
    </row>
    <row r="39" spans="9:24" x14ac:dyDescent="0.2">
      <c r="K39" s="106"/>
      <c r="L39" s="6" t="s">
        <v>300</v>
      </c>
      <c r="M39" s="6">
        <f>VesselCharacteristics!C56</f>
        <v>15</v>
      </c>
      <c r="N39" s="6" t="str">
        <f>VesselCharacteristics!D56</f>
        <v>degrees</v>
      </c>
    </row>
    <row r="40" spans="9:24" x14ac:dyDescent="0.2">
      <c r="K40" s="106"/>
      <c r="L40" s="6" t="s">
        <v>322</v>
      </c>
      <c r="M40" s="262">
        <v>5.5</v>
      </c>
      <c r="N40" s="6" t="s">
        <v>146</v>
      </c>
      <c r="O40">
        <f>VesselCharacteristics!C59*1000</f>
        <v>14.19700456365918</v>
      </c>
      <c r="Q40" s="123"/>
    </row>
    <row r="41" spans="9:24" x14ac:dyDescent="0.2">
      <c r="L41" s="106" t="s">
        <v>319</v>
      </c>
      <c r="M41" s="123">
        <f>VesselCharacteristics!C54*1000/2</f>
        <v>11.032632333657627</v>
      </c>
      <c r="N41" s="106" t="s">
        <v>146</v>
      </c>
    </row>
    <row r="42" spans="9:24" x14ac:dyDescent="0.2">
      <c r="J42" s="123">
        <f>K42-M42</f>
        <v>0.44207766634237267</v>
      </c>
      <c r="K42">
        <v>13.97471</v>
      </c>
      <c r="L42" s="106" t="s">
        <v>318</v>
      </c>
      <c r="M42" s="123">
        <f>M41+VesselCharacteristics!$C$61*1000</f>
        <v>13.532632333657627</v>
      </c>
      <c r="N42" s="106" t="s">
        <v>146</v>
      </c>
      <c r="O42">
        <f>($M$40*TAN(RADIANS(M39)))</f>
        <v>1.4737205583711748</v>
      </c>
    </row>
    <row r="43" spans="9:24" x14ac:dyDescent="0.2">
      <c r="K43" s="123">
        <f>M41+CONVERT(VesselCharacteristics!$I$23,"in","mm")+0.544</f>
        <v>12.826632333657628</v>
      </c>
      <c r="L43" s="106" t="s">
        <v>323</v>
      </c>
      <c r="M43" s="123">
        <f>(M41+CONVERT(VesselCharacteristics!$I$23,"in","mm")+0.5)-($M$40*TAN(RADIANS($M$39)))</f>
        <v>11.308911775286452</v>
      </c>
      <c r="N43" s="106" t="s">
        <v>146</v>
      </c>
      <c r="O43" s="123">
        <f>(M41+CONVERT(VesselCharacteristics!$I$23,"in","mm")+0.5)-($M$40*TAN(RADIANS(M39)))</f>
        <v>11.308911775286452</v>
      </c>
      <c r="P43" s="123">
        <f>M43+4.5/2-0.42</f>
        <v>13.138911775286452</v>
      </c>
      <c r="Q43" s="123">
        <f>M41+CONVERT(VesselCharacteristics!$I$23,"in","mm")+0.8</f>
        <v>13.082632333657628</v>
      </c>
    </row>
    <row r="44" spans="9:24" x14ac:dyDescent="0.2">
      <c r="L44" s="106" t="s">
        <v>325</v>
      </c>
      <c r="M44" s="123">
        <f>VesselCharacteristics!C59*1000-M40</f>
        <v>8.6970045636591795</v>
      </c>
      <c r="N44" s="106"/>
      <c r="O44" s="123"/>
    </row>
    <row r="45" spans="9:24" x14ac:dyDescent="0.2">
      <c r="L45" s="6" t="s">
        <v>299</v>
      </c>
      <c r="M45" s="262">
        <f>VesselCharacteristics!C57*1000</f>
        <v>13.713253363982167</v>
      </c>
      <c r="N45" s="6" t="s">
        <v>146</v>
      </c>
      <c r="Q45">
        <f>PI()*0.4^2</f>
        <v>0.50265482457436694</v>
      </c>
      <c r="T45">
        <v>19.253779999999999</v>
      </c>
    </row>
    <row r="46" spans="9:24" x14ac:dyDescent="0.2">
      <c r="L46" s="106" t="s">
        <v>302</v>
      </c>
      <c r="M46" s="123">
        <f>VesselCharacteristics!C48*1000/2</f>
        <v>7.3581771691752298</v>
      </c>
      <c r="N46" s="106" t="s">
        <v>146</v>
      </c>
      <c r="O46" s="129">
        <f>M46/M41</f>
        <v>0.66694664941633086</v>
      </c>
      <c r="P46">
        <f>M46/M41</f>
        <v>0.66694664941633086</v>
      </c>
      <c r="Q46">
        <f>Q45/1000</f>
        <v>5.0265482457436696E-4</v>
      </c>
      <c r="T46">
        <v>21.503779999999999</v>
      </c>
      <c r="U46">
        <v>23.753779999999999</v>
      </c>
    </row>
    <row r="47" spans="9:24" x14ac:dyDescent="0.2">
      <c r="K47" s="123">
        <f>M47+$J$42</f>
        <v>10.300254835517602</v>
      </c>
      <c r="L47" s="106" t="s">
        <v>303</v>
      </c>
      <c r="M47" s="123">
        <f>M46+VesselCharacteristics!$C$61*1000</f>
        <v>9.8581771691752298</v>
      </c>
      <c r="N47" s="106" t="s">
        <v>146</v>
      </c>
      <c r="O47">
        <f>M47/M42</f>
        <v>0.7284744701632444</v>
      </c>
      <c r="P47">
        <f>M47/M42</f>
        <v>0.7284744701632444</v>
      </c>
      <c r="Q47">
        <f>Q46*15</f>
        <v>7.5398223686155043E-3</v>
      </c>
      <c r="R47">
        <f>M47/M42</f>
        <v>0.7284744701632444</v>
      </c>
      <c r="T47">
        <f>T46-T45</f>
        <v>2.25</v>
      </c>
      <c r="U47">
        <f>U46-T46</f>
        <v>2.25</v>
      </c>
    </row>
    <row r="48" spans="9:24" x14ac:dyDescent="0.2">
      <c r="I48" s="123"/>
      <c r="L48" s="106" t="s">
        <v>324</v>
      </c>
      <c r="M48" s="123">
        <f>M46+CONVERT(VesselCharacteristics!$I$23,"in","mm")+0.5</f>
        <v>9.1081771691752298</v>
      </c>
      <c r="N48" s="106" t="s">
        <v>146</v>
      </c>
      <c r="O48" s="278">
        <f>M46+CONVERT(VesselCharacteristics!$I$23,"in","mm")+0.5</f>
        <v>9.1081771691752298</v>
      </c>
      <c r="Q48" s="123">
        <f>M48+0.4</f>
        <v>9.5081771691752301</v>
      </c>
      <c r="R48">
        <f>(Q48+O48)/2</f>
        <v>9.3081771691752309</v>
      </c>
      <c r="X48">
        <v>27.596299999999999</v>
      </c>
    </row>
    <row r="49" spans="4:161" x14ac:dyDescent="0.2">
      <c r="I49" s="123"/>
      <c r="L49" s="106"/>
      <c r="M49" s="123"/>
      <c r="N49" s="106"/>
      <c r="O49" s="223"/>
      <c r="P49" s="262"/>
      <c r="Q49" s="123"/>
    </row>
    <row r="50" spans="4:161" x14ac:dyDescent="0.2">
      <c r="F50">
        <f>2.25/2</f>
        <v>1.125</v>
      </c>
      <c r="I50" s="193">
        <f>O30-O29</f>
        <v>1.7907000000000011</v>
      </c>
      <c r="L50" s="6" t="s">
        <v>304</v>
      </c>
      <c r="M50" s="262">
        <f>M45+VesselCharacteristics!C50*1000</f>
        <v>14.507003363982166</v>
      </c>
      <c r="N50" s="6" t="s">
        <v>146</v>
      </c>
      <c r="P50" s="123">
        <f>M50-0.625</f>
        <v>13.882003363982166</v>
      </c>
      <c r="X50">
        <v>31.939699999999998</v>
      </c>
      <c r="Y50">
        <f>(CONVERT(0.213,"in","mm"))</f>
        <v>5.4101999999999997</v>
      </c>
    </row>
    <row r="51" spans="4:161" x14ac:dyDescent="0.2">
      <c r="L51" s="6" t="s">
        <v>305</v>
      </c>
      <c r="M51" s="264">
        <f>VesselCharacteristics!C37</f>
        <v>60</v>
      </c>
      <c r="N51" s="263" t="str">
        <f>VesselCharacteristics!D37</f>
        <v>degrees</v>
      </c>
      <c r="X51">
        <f>X50-X48</f>
        <v>4.343399999999999</v>
      </c>
      <c r="Y51">
        <v>0.21299999999999999</v>
      </c>
    </row>
    <row r="52" spans="4:161" x14ac:dyDescent="0.2">
      <c r="D52" s="193">
        <f>(1.879-1.739)/2</f>
        <v>6.9999999999999951E-2</v>
      </c>
      <c r="E52">
        <f>CONVERT(D52,"in","mm")</f>
        <v>1.7779999999999989</v>
      </c>
      <c r="L52" s="6" t="s">
        <v>306</v>
      </c>
      <c r="M52" s="262">
        <f>M50+VesselCharacteristics!C38*1000</f>
        <v>20.664791741605569</v>
      </c>
      <c r="N52" s="6" t="s">
        <v>146</v>
      </c>
      <c r="V52">
        <f>36*5</f>
        <v>180</v>
      </c>
    </row>
    <row r="53" spans="4:161" x14ac:dyDescent="0.2">
      <c r="L53" s="106" t="s">
        <v>320</v>
      </c>
      <c r="M53" s="123">
        <f>VesselCharacteristics!C33*1000/2</f>
        <v>18.023779501476085</v>
      </c>
      <c r="N53" s="106" t="s">
        <v>146</v>
      </c>
      <c r="O53">
        <f>M53/M46</f>
        <v>2.4494897427831779</v>
      </c>
      <c r="P53">
        <f>M53/M46</f>
        <v>2.4494897427831779</v>
      </c>
      <c r="Q53">
        <f>M53/M46</f>
        <v>2.4494897427831779</v>
      </c>
    </row>
    <row r="54" spans="4:161" x14ac:dyDescent="0.2">
      <c r="I54" t="s">
        <v>378</v>
      </c>
      <c r="J54">
        <v>9.9930000000000003</v>
      </c>
      <c r="K54" s="123">
        <f>M54+$J$42</f>
        <v>20.965857167818456</v>
      </c>
      <c r="L54" s="106" t="s">
        <v>321</v>
      </c>
      <c r="M54" s="123">
        <f>M53+VesselCharacteristics!$C$61*1000</f>
        <v>20.523779501476085</v>
      </c>
      <c r="N54" s="106" t="s">
        <v>146</v>
      </c>
      <c r="O54">
        <f>M54/M47</f>
        <v>2.0819041034939301</v>
      </c>
      <c r="P54">
        <f>M54/M47</f>
        <v>2.0819041034939301</v>
      </c>
      <c r="Q54">
        <f>M54/M47</f>
        <v>2.0819041034939301</v>
      </c>
    </row>
    <row r="55" spans="4:161" x14ac:dyDescent="0.2">
      <c r="F55">
        <v>13.1106</v>
      </c>
      <c r="G55">
        <f>F55/2</f>
        <v>6.5552999999999999</v>
      </c>
      <c r="L55" s="106" t="s">
        <v>387</v>
      </c>
      <c r="M55" s="222">
        <f>(M46+CONVERT(VesselCharacteristics!$I$23,"in","mm")+0.5)-0.5*SIN(RADIANS(30))</f>
        <v>8.8581771691752298</v>
      </c>
      <c r="N55" s="106" t="s">
        <v>146</v>
      </c>
      <c r="O55" s="123">
        <f>(M46+CONVERT(VesselCharacteristics!$I$23,"in","mm")+0.5)-0.5*SIN(RADIANS(30))</f>
        <v>8.8581771691752298</v>
      </c>
      <c r="P55" s="123">
        <f>M60+4.5/2-0.42</f>
        <v>21.603779501476083</v>
      </c>
      <c r="Q55" s="123">
        <f>M60+0.4</f>
        <v>20.173779501476083</v>
      </c>
    </row>
    <row r="56" spans="4:161" x14ac:dyDescent="0.2">
      <c r="F56">
        <v>12</v>
      </c>
      <c r="G56">
        <f>F56/2</f>
        <v>6</v>
      </c>
      <c r="L56" s="106" t="s">
        <v>389</v>
      </c>
      <c r="M56" s="123">
        <f>M50-TAN(RADIANS($M$51))/(CONVERT(VesselCharacteristics!$I$23,"in","mm")+0.5)</f>
        <v>13.51726004537138</v>
      </c>
      <c r="N56" s="106" t="s">
        <v>146</v>
      </c>
      <c r="O56">
        <f>M50-TAN(RADIANS(90-$M$51))*(CONVERT(VesselCharacteristics!$I$23,"in","mm")+0.5)</f>
        <v>13.496640392900321</v>
      </c>
      <c r="P56" s="123">
        <f>M56-(O56-M56)</f>
        <v>13.537879697842438</v>
      </c>
      <c r="Q56" s="106">
        <f>TAN(RADIANS($M$51))</f>
        <v>1.7320508075688767</v>
      </c>
    </row>
    <row r="57" spans="4:161" x14ac:dyDescent="0.2">
      <c r="L57" s="106" t="s">
        <v>388</v>
      </c>
      <c r="M57" s="123">
        <f>(M53+CONVERT(VesselCharacteristics!$I$23,"in","mm")+0.5)-0.5*SIN(RADIANS(30))</f>
        <v>19.523779501476085</v>
      </c>
      <c r="N57" s="106" t="s">
        <v>146</v>
      </c>
      <c r="O57">
        <f>(M53+CONVERT(VesselCharacteristics!$I$23,"in","mm")+0.5)-0.5*SIN(RADIANS(30))</f>
        <v>19.523779501476085</v>
      </c>
    </row>
    <row r="58" spans="4:161" x14ac:dyDescent="0.2">
      <c r="L58" s="106" t="s">
        <v>390</v>
      </c>
      <c r="M58" s="123">
        <f>M52-TAN(RADIANS($M$51))/(CONVERT(VesselCharacteristics!$I$23,"in","mm")+0.5)</f>
        <v>19.675048422994781</v>
      </c>
      <c r="N58" s="106" t="s">
        <v>146</v>
      </c>
      <c r="O58">
        <f>M52-TAN(RADIANS($M$51))/(CONVERT(VesselCharacteristics!$I$23,"in","mm")+0.5)</f>
        <v>19.675048422994781</v>
      </c>
    </row>
    <row r="59" spans="4:161" x14ac:dyDescent="0.2">
      <c r="L59" s="106" t="s">
        <v>326</v>
      </c>
      <c r="M59" s="123">
        <f>VesselCharacteristics!C40*1000</f>
        <v>12.3155767552468</v>
      </c>
      <c r="N59" s="106" t="s">
        <v>146</v>
      </c>
    </row>
    <row r="60" spans="4:161" x14ac:dyDescent="0.2">
      <c r="L60" s="106" t="s">
        <v>391</v>
      </c>
      <c r="M60" s="123">
        <f>M53+CONVERT(VesselCharacteristics!$I$23,"in","mm")+0.5</f>
        <v>19.773779501476085</v>
      </c>
      <c r="N60" s="106" t="s">
        <v>146</v>
      </c>
      <c r="O60" s="123">
        <f>M53+CONVERT(VesselCharacteristics!$I$23,"in","mm")+0.5</f>
        <v>19.773779501476085</v>
      </c>
    </row>
    <row r="61" spans="4:161" x14ac:dyDescent="0.2">
      <c r="L61" s="6" t="s">
        <v>307</v>
      </c>
      <c r="M61" s="262">
        <f>M50+VesselCharacteristics!C35*1000</f>
        <v>116.10700336398216</v>
      </c>
      <c r="N61" s="6" t="s">
        <v>146</v>
      </c>
      <c r="O61" s="123">
        <f>M61-3</f>
        <v>113.10700336398216</v>
      </c>
      <c r="P61" s="123">
        <f>O61+2.25</f>
        <v>115.35700336398216</v>
      </c>
      <c r="Q61" s="123">
        <f>M61-1</f>
        <v>115.10700336398216</v>
      </c>
      <c r="FE61" s="106" t="s">
        <v>386</v>
      </c>
    </row>
    <row r="62" spans="4:161" x14ac:dyDescent="0.2">
      <c r="D62" s="106">
        <f>44.9931+E62/2</f>
        <v>48.743094999999997</v>
      </c>
      <c r="E62">
        <f>52.49309-44.9931</f>
        <v>7.4999900000000039</v>
      </c>
    </row>
    <row r="63" spans="4:161" x14ac:dyDescent="0.2">
      <c r="I63" s="123">
        <f>J63+1.25</f>
        <v>115.10700336398216</v>
      </c>
      <c r="J63" s="123">
        <f>M61-2.25</f>
        <v>113.85700336398216</v>
      </c>
      <c r="N63" s="106"/>
      <c r="O63" s="123">
        <f>(M46+CONVERT(VesselCharacteristics!$I$23,"in","mm")+0.4)+($M$50*TAN(RADIANS($M$51)))</f>
        <v>34.135044061164955</v>
      </c>
    </row>
    <row r="64" spans="4:161" x14ac:dyDescent="0.2">
      <c r="L64" s="6" t="s">
        <v>297</v>
      </c>
      <c r="P64" s="123">
        <f>M53+0.625</f>
        <v>18.648779501476085</v>
      </c>
      <c r="R64" s="123">
        <f>M50-R65</f>
        <v>13.965737486616892</v>
      </c>
      <c r="S64">
        <f>13.78506</f>
        <v>13.78506</v>
      </c>
      <c r="T64" s="123">
        <f>R64-S64</f>
        <v>0.18067748661689187</v>
      </c>
    </row>
    <row r="65" spans="1:19" x14ac:dyDescent="0.2">
      <c r="F65" s="123">
        <f>M61-M52</f>
        <v>95.44221162237659</v>
      </c>
      <c r="G65" s="123">
        <f>F65/3</f>
        <v>31.814070540792198</v>
      </c>
      <c r="L65" s="106" t="s">
        <v>301</v>
      </c>
      <c r="M65">
        <f>M40</f>
        <v>5.5</v>
      </c>
      <c r="N65" t="str">
        <f>N40</f>
        <v>mm</v>
      </c>
      <c r="R65">
        <f>0.625*COS(RADIANS(30))</f>
        <v>0.54126587736527421</v>
      </c>
    </row>
    <row r="66" spans="1:19" x14ac:dyDescent="0.2">
      <c r="L66" s="106" t="s">
        <v>308</v>
      </c>
      <c r="M66" s="123">
        <f>M61-12</f>
        <v>104.10700336398216</v>
      </c>
      <c r="N66" s="106" t="s">
        <v>146</v>
      </c>
      <c r="P66">
        <f>2.25/2</f>
        <v>1.125</v>
      </c>
      <c r="R66">
        <f>0.625*SIN(RADIANS(30))</f>
        <v>0.31249999999999994</v>
      </c>
      <c r="S66" s="123">
        <f>M46+R66</f>
        <v>7.6706771691752298</v>
      </c>
    </row>
    <row r="67" spans="1:19" x14ac:dyDescent="0.2">
      <c r="L67" s="106" t="s">
        <v>327</v>
      </c>
      <c r="M67">
        <v>3</v>
      </c>
      <c r="N67" t="s">
        <v>146</v>
      </c>
      <c r="R67" s="6"/>
      <c r="S67">
        <f>M50-0.4*COS(RADIANS(30))</f>
        <v>14.160593202468391</v>
      </c>
    </row>
    <row r="68" spans="1:19" x14ac:dyDescent="0.2">
      <c r="C68" t="s">
        <v>379</v>
      </c>
      <c r="F68" t="s">
        <v>383</v>
      </c>
      <c r="G68" t="s">
        <v>384</v>
      </c>
      <c r="H68" t="s">
        <v>385</v>
      </c>
      <c r="L68" s="106" t="s">
        <v>328</v>
      </c>
      <c r="M68" s="123">
        <f>M43+M67-0.5</f>
        <v>13.808911775286452</v>
      </c>
      <c r="O68" s="123"/>
    </row>
    <row r="69" spans="1:19" x14ac:dyDescent="0.2">
      <c r="E69" t="s">
        <v>380</v>
      </c>
      <c r="F69" s="123">
        <f>M52</f>
        <v>20.664791741605569</v>
      </c>
      <c r="G69" s="123">
        <f>F69+$G$65*0.5</f>
        <v>36.57182701200167</v>
      </c>
      <c r="H69" s="123">
        <f>G69-5</f>
        <v>31.57182701200167</v>
      </c>
      <c r="L69" s="106" t="s">
        <v>329</v>
      </c>
      <c r="M69" s="123">
        <f>M60+M67-0.5</f>
        <v>22.273779501476085</v>
      </c>
      <c r="O69" s="123">
        <f>M60+5-0.5</f>
        <v>24.273779501476085</v>
      </c>
      <c r="P69">
        <v>10.875540000000001</v>
      </c>
      <c r="Q69" s="106" t="s">
        <v>386</v>
      </c>
    </row>
    <row r="70" spans="1:19" x14ac:dyDescent="0.2">
      <c r="E70" t="s">
        <v>381</v>
      </c>
      <c r="F70" s="123">
        <f>F69+G65</f>
        <v>52.47886228239777</v>
      </c>
      <c r="G70" s="123">
        <f>F70+$G$65*0.5</f>
        <v>68.385897552793864</v>
      </c>
      <c r="H70" s="123">
        <f>G70-5</f>
        <v>63.385897552793864</v>
      </c>
      <c r="L70" s="106" t="s">
        <v>356</v>
      </c>
      <c r="M70">
        <f>M101-M83*1.5</f>
        <v>38.227903363982158</v>
      </c>
      <c r="P70">
        <v>11.49241</v>
      </c>
      <c r="R70">
        <f>M70+M73*0.5</f>
        <v>44.78320336398216</v>
      </c>
    </row>
    <row r="71" spans="1:19" x14ac:dyDescent="0.2">
      <c r="B71">
        <v>12.26515</v>
      </c>
      <c r="E71" t="s">
        <v>382</v>
      </c>
      <c r="F71" s="123">
        <f>F70+G65</f>
        <v>84.292932823189972</v>
      </c>
      <c r="G71" s="123">
        <f>F71+$G$65*0.5</f>
        <v>100.19996809358607</v>
      </c>
      <c r="H71" s="123">
        <f>G71-5</f>
        <v>95.199968093586065</v>
      </c>
      <c r="L71" s="106" t="s">
        <v>312</v>
      </c>
      <c r="P71">
        <v>11.54763</v>
      </c>
      <c r="Q71">
        <v>7.5</v>
      </c>
      <c r="R71">
        <f>Q71/Q72</f>
        <v>1.0695202417400953</v>
      </c>
    </row>
    <row r="72" spans="1:19" x14ac:dyDescent="0.2">
      <c r="B72">
        <v>13.532629999999999</v>
      </c>
      <c r="L72" s="106" t="s">
        <v>311</v>
      </c>
      <c r="M72">
        <v>10</v>
      </c>
      <c r="N72" s="106" t="s">
        <v>146</v>
      </c>
      <c r="O72">
        <f>-47.30882</f>
        <v>-47.308819999999997</v>
      </c>
      <c r="P72">
        <f>-54.32131</f>
        <v>-54.321309999999997</v>
      </c>
      <c r="Q72">
        <f>(P72-O72)*-1</f>
        <v>7.0124899999999997</v>
      </c>
      <c r="R72">
        <f>CONVERT(0.339,"in","mm")</f>
        <v>8.6105999999999998</v>
      </c>
      <c r="S72">
        <f>-54.56506--47.06506</f>
        <v>-7.5</v>
      </c>
    </row>
    <row r="73" spans="1:19" ht="15" x14ac:dyDescent="0.25">
      <c r="B73">
        <v>15.16732</v>
      </c>
      <c r="F73" s="266"/>
      <c r="L73" s="106" t="s">
        <v>313</v>
      </c>
      <c r="M73">
        <f>CONVERT(M26,"in","mm")*2+4.5</f>
        <v>13.1106</v>
      </c>
      <c r="N73" s="106" t="s">
        <v>146</v>
      </c>
      <c r="O73">
        <f>M73/2</f>
        <v>6.5552999999999999</v>
      </c>
      <c r="R73">
        <f>R72/2</f>
        <v>4.3052999999999999</v>
      </c>
    </row>
    <row r="74" spans="1:19" ht="15" x14ac:dyDescent="0.25">
      <c r="B74">
        <f>B73-B71</f>
        <v>2.9021699999999999</v>
      </c>
      <c r="E74" s="266"/>
      <c r="L74" s="106" t="s">
        <v>314</v>
      </c>
      <c r="M74">
        <v>3</v>
      </c>
      <c r="N74" s="106" t="s">
        <v>146</v>
      </c>
      <c r="O74">
        <f>M72-M74</f>
        <v>7</v>
      </c>
      <c r="P74">
        <f>O74/2</f>
        <v>3.5</v>
      </c>
      <c r="Q74">
        <f>O74+0.5</f>
        <v>7.5</v>
      </c>
      <c r="R74">
        <f>Q74/2-0.5</f>
        <v>3.25</v>
      </c>
    </row>
    <row r="75" spans="1:19" ht="15" x14ac:dyDescent="0.25">
      <c r="E75" s="266"/>
      <c r="L75" s="106" t="s">
        <v>315</v>
      </c>
      <c r="M75">
        <f>CONVERT((13/32),"in","mm")*0.5</f>
        <v>5.1593749999999998</v>
      </c>
      <c r="N75" s="106" t="s">
        <v>146</v>
      </c>
      <c r="Q75">
        <f>4/3</f>
        <v>1.3333333333333333</v>
      </c>
    </row>
    <row r="76" spans="1:19" ht="15" x14ac:dyDescent="0.25">
      <c r="B76">
        <v>-54.321309999999997</v>
      </c>
      <c r="E76" s="266"/>
      <c r="H76">
        <v>4.8</v>
      </c>
      <c r="I76">
        <v>2.8</v>
      </c>
      <c r="J76">
        <f>I76/H76</f>
        <v>0.58333333333333337</v>
      </c>
      <c r="L76" s="106" t="s">
        <v>316</v>
      </c>
      <c r="M76" s="133">
        <f>CONVERT(M26,"in","mm")/M75</f>
        <v>0.83446153846153848</v>
      </c>
      <c r="O76">
        <f>1/M76</f>
        <v>1.1983775811209438</v>
      </c>
    </row>
    <row r="77" spans="1:19" ht="15" x14ac:dyDescent="0.25">
      <c r="B77">
        <v>-47.308819999999997</v>
      </c>
      <c r="E77" s="266"/>
      <c r="F77" s="266">
        <v>47.326779999999999</v>
      </c>
      <c r="G77" s="266">
        <v>47.819740000000003</v>
      </c>
    </row>
    <row r="78" spans="1:19" x14ac:dyDescent="0.2">
      <c r="B78">
        <f>B76-B77</f>
        <v>-7.0124899999999997</v>
      </c>
      <c r="F78">
        <v>52.104700000000001</v>
      </c>
      <c r="G78">
        <v>51.611739999999998</v>
      </c>
      <c r="L78" s="6" t="s">
        <v>344</v>
      </c>
    </row>
    <row r="79" spans="1:19" ht="15" x14ac:dyDescent="0.25">
      <c r="B79" s="266"/>
      <c r="C79" s="266"/>
      <c r="D79" s="266"/>
      <c r="E79" s="266"/>
      <c r="F79" s="266">
        <f>F78-F77</f>
        <v>4.7779200000000017</v>
      </c>
      <c r="G79" s="266">
        <f>G78-G77</f>
        <v>3.7919999999999945</v>
      </c>
      <c r="H79">
        <f>O34*2</f>
        <v>5.7911999999999999</v>
      </c>
      <c r="I79" t="s">
        <v>83</v>
      </c>
      <c r="L79" s="106" t="s">
        <v>336</v>
      </c>
      <c r="M79" s="123">
        <f>M66-M83-M73</f>
        <v>69.889003363982155</v>
      </c>
      <c r="N79" s="106" t="s">
        <v>146</v>
      </c>
    </row>
    <row r="80" spans="1:19" ht="15" x14ac:dyDescent="0.25">
      <c r="A80" s="266"/>
      <c r="G80">
        <f>G79+1</f>
        <v>4.7919999999999945</v>
      </c>
      <c r="H80">
        <f>G80/G79</f>
        <v>1.2637130801687768</v>
      </c>
      <c r="L80" s="106" t="s">
        <v>337</v>
      </c>
      <c r="M80" s="123">
        <f>M54</f>
        <v>20.523779501476085</v>
      </c>
      <c r="N80" s="106" t="s">
        <v>146</v>
      </c>
      <c r="O80" s="123">
        <f>M80-0.5</f>
        <v>20.023779501476085</v>
      </c>
      <c r="P80" s="123">
        <f>M80+1.5</f>
        <v>22.023779501476085</v>
      </c>
      <c r="Q80" s="106"/>
    </row>
    <row r="81" spans="1:22" ht="15" x14ac:dyDescent="0.25">
      <c r="A81" s="266"/>
      <c r="L81" s="106" t="s">
        <v>334</v>
      </c>
      <c r="M81">
        <f>CONVERT((2.25+0.343*2),"in","mm")</f>
        <v>74.574399999999997</v>
      </c>
      <c r="N81" s="106" t="s">
        <v>146</v>
      </c>
      <c r="O81">
        <f>M81/2</f>
        <v>37.287199999999999</v>
      </c>
      <c r="P81">
        <f>CONVERT((0.343*2),"in","mm")</f>
        <v>17.424399999999999</v>
      </c>
    </row>
    <row r="82" spans="1:22" ht="15" x14ac:dyDescent="0.25">
      <c r="A82" s="266"/>
      <c r="B82">
        <v>-22</v>
      </c>
      <c r="E82">
        <f>13.111/2</f>
        <v>6.5555000000000003</v>
      </c>
      <c r="H82">
        <v>-25.872</v>
      </c>
      <c r="I82">
        <v>15.958780000000001</v>
      </c>
      <c r="J82">
        <v>11.458780000000001</v>
      </c>
      <c r="L82" s="106" t="s">
        <v>335</v>
      </c>
      <c r="M82">
        <f>M86*6</f>
        <v>21.107399999999998</v>
      </c>
      <c r="N82" s="106" t="s">
        <v>146</v>
      </c>
    </row>
    <row r="83" spans="1:22" x14ac:dyDescent="0.2">
      <c r="B83">
        <v>98.984309999999994</v>
      </c>
      <c r="H83">
        <v>-33.664009999999998</v>
      </c>
      <c r="I83">
        <v>13.708780000000001</v>
      </c>
      <c r="J83">
        <v>13.708780000000001</v>
      </c>
      <c r="L83" s="106" t="s">
        <v>332</v>
      </c>
      <c r="M83">
        <f>M86*6</f>
        <v>21.107399999999998</v>
      </c>
      <c r="N83" s="106" t="s">
        <v>146</v>
      </c>
      <c r="O83" s="123">
        <f>M79-M83*0.5-1.5</f>
        <v>57.835303363982156</v>
      </c>
      <c r="P83">
        <f>M79+M83*0.5+1.5</f>
        <v>81.942703363982162</v>
      </c>
      <c r="V83" s="123">
        <f>2.381+M61</f>
        <v>118.48800336398216</v>
      </c>
    </row>
    <row r="84" spans="1:22" x14ac:dyDescent="0.2">
      <c r="B84">
        <v>-22.124669999999998</v>
      </c>
      <c r="H84">
        <f>H83-H82</f>
        <v>-7.7920099999999977</v>
      </c>
      <c r="I84">
        <f>I82-I83</f>
        <v>2.25</v>
      </c>
      <c r="J84">
        <f>J82-J83</f>
        <v>-2.25</v>
      </c>
      <c r="L84" s="106" t="s">
        <v>333</v>
      </c>
      <c r="M84">
        <f>CONVERT((1+0.343*2),"in","mm")</f>
        <v>42.824399999999997</v>
      </c>
      <c r="N84" s="106" t="s">
        <v>146</v>
      </c>
      <c r="O84">
        <f>M84/2</f>
        <v>21.412199999999999</v>
      </c>
      <c r="P84">
        <f>79.16585+O84-0.25*M83</f>
        <v>95.301200000000009</v>
      </c>
      <c r="Q84">
        <f>68.61215-O84+0.25*M83</f>
        <v>52.476799999999997</v>
      </c>
      <c r="R84">
        <f>P84-O84+0.25*M83</f>
        <v>79.165850000000006</v>
      </c>
    </row>
    <row r="85" spans="1:22" x14ac:dyDescent="0.2">
      <c r="L85" s="106" t="s">
        <v>311</v>
      </c>
      <c r="M85" s="193">
        <v>3</v>
      </c>
      <c r="N85" s="106" t="s">
        <v>146</v>
      </c>
      <c r="O85" s="123">
        <f>M80+M85/2</f>
        <v>22.023779501476085</v>
      </c>
    </row>
    <row r="86" spans="1:22" x14ac:dyDescent="0.2">
      <c r="L86" s="106" t="s">
        <v>330</v>
      </c>
      <c r="M86">
        <f>CONVERT(0.277,"in","mm")/2</f>
        <v>3.5179</v>
      </c>
      <c r="N86" s="106" t="s">
        <v>146</v>
      </c>
    </row>
    <row r="87" spans="1:22" x14ac:dyDescent="0.2">
      <c r="L87" s="106" t="s">
        <v>331</v>
      </c>
      <c r="M87" s="193">
        <f>M85+2</f>
        <v>5</v>
      </c>
      <c r="N87" s="106" t="s">
        <v>146</v>
      </c>
      <c r="P87">
        <f>1</f>
        <v>1</v>
      </c>
    </row>
    <row r="88" spans="1:22" x14ac:dyDescent="0.2">
      <c r="G88" s="282">
        <v>0.33900000000000002</v>
      </c>
      <c r="H88">
        <f>CONVERT((10.5-3),"mm","in")</f>
        <v>0.29527559055118108</v>
      </c>
      <c r="I88">
        <v>0.33900000000000002</v>
      </c>
      <c r="J88">
        <f>CONVERT((I88-H88),"in","mm")</f>
        <v>1.1106000000000014</v>
      </c>
      <c r="L88" s="106" t="s">
        <v>343</v>
      </c>
      <c r="M88" s="123">
        <f>M79-M86*2+2</f>
        <v>64.853203363982146</v>
      </c>
      <c r="P88">
        <f>3/1.4</f>
        <v>2.1428571428571428</v>
      </c>
    </row>
    <row r="89" spans="1:22" x14ac:dyDescent="0.2">
      <c r="H89">
        <f>10.5-3</f>
        <v>7.5</v>
      </c>
      <c r="J89">
        <f>I88/H88</f>
        <v>1.1480800000000002</v>
      </c>
      <c r="L89" s="106" t="s">
        <v>342</v>
      </c>
      <c r="M89">
        <f>M86*2-2</f>
        <v>5.0358000000000001</v>
      </c>
    </row>
    <row r="90" spans="1:22" x14ac:dyDescent="0.2">
      <c r="H90">
        <f>H89/2</f>
        <v>3.75</v>
      </c>
      <c r="L90" s="106" t="s">
        <v>338</v>
      </c>
      <c r="M90" s="123">
        <f>M79+M86*2-2</f>
        <v>74.92480336398215</v>
      </c>
      <c r="S90" s="6" t="s">
        <v>347</v>
      </c>
      <c r="T90">
        <f>0.343*2+2.25</f>
        <v>2.9359999999999999</v>
      </c>
      <c r="U90">
        <f>CONVERT(T90,"in","mm")</f>
        <v>74.574399999999997</v>
      </c>
    </row>
    <row r="91" spans="1:22" x14ac:dyDescent="0.2">
      <c r="L91" s="106" t="s">
        <v>341</v>
      </c>
      <c r="M91">
        <v>0</v>
      </c>
      <c r="S91" s="6" t="s">
        <v>346</v>
      </c>
      <c r="T91">
        <f>0.343*2+1</f>
        <v>1.6859999999999999</v>
      </c>
      <c r="U91">
        <f>CONVERT(T91,"in","mm")</f>
        <v>42.824399999999997</v>
      </c>
      <c r="V91">
        <f>U91/2</f>
        <v>21.412199999999999</v>
      </c>
    </row>
    <row r="92" spans="1:22" x14ac:dyDescent="0.2">
      <c r="L92" s="106" t="s">
        <v>339</v>
      </c>
      <c r="M92">
        <f>M79-M86*2+2</f>
        <v>64.853203363982146</v>
      </c>
    </row>
    <row r="93" spans="1:22" x14ac:dyDescent="0.2">
      <c r="L93" s="106" t="s">
        <v>340</v>
      </c>
      <c r="M93">
        <f>(M86*2-2)*-1</f>
        <v>-5.0358000000000001</v>
      </c>
    </row>
    <row r="94" spans="1:22" x14ac:dyDescent="0.2">
      <c r="L94" s="106" t="s">
        <v>352</v>
      </c>
      <c r="M94">
        <f>CONVERT((0.343*2),"in","mm")</f>
        <v>17.424399999999999</v>
      </c>
      <c r="O94">
        <f>O81-M94*0.5</f>
        <v>28.574999999999999</v>
      </c>
    </row>
    <row r="95" spans="1:22" x14ac:dyDescent="0.2">
      <c r="L95" s="106" t="s">
        <v>351</v>
      </c>
      <c r="M95">
        <f>M86</f>
        <v>3.5179</v>
      </c>
      <c r="S95">
        <f>CONVERT(2.25,"in","mm")</f>
        <v>57.15</v>
      </c>
    </row>
    <row r="96" spans="1:22" x14ac:dyDescent="0.2">
      <c r="L96" s="106" t="s">
        <v>349</v>
      </c>
      <c r="M96" s="123">
        <f>M79+0.5*CONVERT(1,"in","mm")</f>
        <v>82.589003363982158</v>
      </c>
    </row>
    <row r="97" spans="6:19" x14ac:dyDescent="0.2">
      <c r="L97" s="106" t="s">
        <v>348</v>
      </c>
      <c r="M97">
        <f>M79-0.5*CONVERT(1,"in","mm")</f>
        <v>57.189003363982152</v>
      </c>
      <c r="S97">
        <f>M97+CONVERT(1,"in","mm")</f>
        <v>82.589003363982158</v>
      </c>
    </row>
    <row r="98" spans="6:19" x14ac:dyDescent="0.2">
      <c r="L98" s="106" t="s">
        <v>350</v>
      </c>
      <c r="M98">
        <f>O81-CONVERT(0.343,"in","mm")</f>
        <v>28.574999999999999</v>
      </c>
    </row>
    <row r="100" spans="6:19" x14ac:dyDescent="0.2">
      <c r="L100" s="6" t="s">
        <v>345</v>
      </c>
    </row>
    <row r="101" spans="6:19" x14ac:dyDescent="0.2">
      <c r="L101" t="str">
        <f t="shared" ref="L101:N102" si="0">L79</f>
        <v>Bracket center point height from base =</v>
      </c>
      <c r="M101">
        <f t="shared" si="0"/>
        <v>69.889003363982155</v>
      </c>
      <c r="N101" t="str">
        <f t="shared" si="0"/>
        <v>mm</v>
      </c>
    </row>
    <row r="102" spans="6:19" x14ac:dyDescent="0.2">
      <c r="L102" t="str">
        <f t="shared" si="0"/>
        <v>Bracket distance from center =</v>
      </c>
      <c r="M102">
        <f t="shared" si="0"/>
        <v>20.523779501476085</v>
      </c>
      <c r="N102" t="str">
        <f t="shared" si="0"/>
        <v>mm</v>
      </c>
      <c r="O102">
        <f>M102+O105</f>
        <v>21.539779501476083</v>
      </c>
    </row>
    <row r="103" spans="6:19" x14ac:dyDescent="0.2">
      <c r="L103" s="106" t="s">
        <v>353</v>
      </c>
      <c r="M103">
        <f>CONVERT((1/2),"in","mm")</f>
        <v>12.7</v>
      </c>
    </row>
    <row r="104" spans="6:19" x14ac:dyDescent="0.2">
      <c r="L104" s="106" t="s">
        <v>354</v>
      </c>
      <c r="M104">
        <f>CONVERT((5/16),"in","mm")</f>
        <v>7.9375</v>
      </c>
      <c r="N104" s="106" t="s">
        <v>146</v>
      </c>
    </row>
    <row r="105" spans="6:19" x14ac:dyDescent="0.2">
      <c r="L105" s="106" t="s">
        <v>355</v>
      </c>
      <c r="M105">
        <f>CONVERT(0.08,"in","mm")</f>
        <v>2.032</v>
      </c>
      <c r="N105" s="106" t="s">
        <v>146</v>
      </c>
      <c r="O105">
        <f>M105/2</f>
        <v>1.016</v>
      </c>
    </row>
    <row r="107" spans="6:19" x14ac:dyDescent="0.2">
      <c r="F107">
        <f>18.80891-16.80891</f>
        <v>2</v>
      </c>
    </row>
    <row r="108" spans="6:19" x14ac:dyDescent="0.2">
      <c r="P108">
        <v>9.5081299999999995</v>
      </c>
    </row>
    <row r="110" spans="6:19" x14ac:dyDescent="0.2">
      <c r="P110">
        <v>11.9651</v>
      </c>
    </row>
    <row r="112" spans="6:19" x14ac:dyDescent="0.2">
      <c r="P112">
        <f>P110-P108</f>
        <v>2.4569700000000001</v>
      </c>
    </row>
    <row r="120" spans="12:19" x14ac:dyDescent="0.2">
      <c r="M120" s="129"/>
      <c r="Q120">
        <f>0.138-0.0997</f>
        <v>3.8300000000000015E-2</v>
      </c>
      <c r="R120">
        <f>0.138-0.1065</f>
        <v>3.1500000000000014E-2</v>
      </c>
      <c r="S120">
        <f>R120/Q120</f>
        <v>0.82245430809399478</v>
      </c>
    </row>
    <row r="121" spans="12:19" x14ac:dyDescent="0.2">
      <c r="Q121">
        <f>0.138-0.0997</f>
        <v>3.8300000000000015E-2</v>
      </c>
      <c r="R121">
        <f>0.138-0.116</f>
        <v>2.2000000000000006E-2</v>
      </c>
      <c r="S121">
        <f>R121/Q121</f>
        <v>0.5744125326370757</v>
      </c>
    </row>
    <row r="124" spans="12:19" x14ac:dyDescent="0.2">
      <c r="M124" s="129"/>
    </row>
    <row r="125" spans="12:19" x14ac:dyDescent="0.2">
      <c r="L125" s="6" t="s">
        <v>406</v>
      </c>
      <c r="M125">
        <f>(M126-M127)*0.5</f>
        <v>0.70104000000000011</v>
      </c>
    </row>
    <row r="126" spans="12:19" x14ac:dyDescent="0.2">
      <c r="L126" s="106" t="s">
        <v>409</v>
      </c>
      <c r="M126">
        <f>CONVERT(0.138,"in","mm")</f>
        <v>3.5051999999999999</v>
      </c>
      <c r="N126" t="s">
        <v>146</v>
      </c>
      <c r="O126">
        <f>M126/2</f>
        <v>1.7525999999999999</v>
      </c>
      <c r="Q126">
        <f>CONVERT((0.113-Q127),"in","mm")</f>
        <v>0.76708000000000043</v>
      </c>
    </row>
    <row r="127" spans="12:19" x14ac:dyDescent="0.2">
      <c r="L127" t="s">
        <v>400</v>
      </c>
      <c r="M127">
        <f>0.6*M126</f>
        <v>2.1031199999999997</v>
      </c>
      <c r="N127" t="s">
        <v>146</v>
      </c>
      <c r="O127">
        <f>M127/2</f>
        <v>1.0515599999999998</v>
      </c>
      <c r="P127">
        <f>M126/M127</f>
        <v>1.666666666666667</v>
      </c>
      <c r="Q127">
        <f>CONVERT(M127,"mm","in")</f>
        <v>8.2799999999999985E-2</v>
      </c>
      <c r="R127">
        <f>CONVERT(0.113,"in","mm")</f>
        <v>2.8702000000000001</v>
      </c>
      <c r="S127">
        <f>R127-M127</f>
        <v>0.76708000000000043</v>
      </c>
    </row>
    <row r="128" spans="12:19" x14ac:dyDescent="0.2">
      <c r="L128" t="s">
        <v>402</v>
      </c>
      <c r="M128" s="123">
        <f>($M$41+CONVERT(VesselCharacteristics!$I$23,"in","mm")+M126*0.5)-(1*TAN(RADIANS(20)))+0.5</f>
        <v>14.171262099391424</v>
      </c>
      <c r="N128" t="s">
        <v>146</v>
      </c>
      <c r="O128" s="133"/>
    </row>
    <row r="129" spans="12:19" x14ac:dyDescent="0.2">
      <c r="L129" t="s">
        <v>399</v>
      </c>
      <c r="M129" s="129">
        <f>CONVERT((1/4),"in","mm")</f>
        <v>6.35</v>
      </c>
      <c r="N129" t="s">
        <v>146</v>
      </c>
      <c r="O129" s="133">
        <f>M61-1-M129</f>
        <v>108.75700336398216</v>
      </c>
    </row>
    <row r="130" spans="12:19" x14ac:dyDescent="0.2">
      <c r="L130" t="s">
        <v>404</v>
      </c>
      <c r="M130" s="123">
        <f>COS(RADIANS(20))*M129</f>
        <v>5.9670481419905181</v>
      </c>
      <c r="N130" t="s">
        <v>146</v>
      </c>
    </row>
    <row r="131" spans="12:19" x14ac:dyDescent="0.2">
      <c r="L131" t="s">
        <v>405</v>
      </c>
      <c r="M131" s="123">
        <f>M128-SIN(RADIANS(20))*$M$129</f>
        <v>11.999434189273428</v>
      </c>
      <c r="N131" t="s">
        <v>146</v>
      </c>
    </row>
    <row r="132" spans="12:19" x14ac:dyDescent="0.2">
      <c r="L132" t="s">
        <v>401</v>
      </c>
      <c r="M132">
        <f>M126+2</f>
        <v>5.5052000000000003</v>
      </c>
      <c r="N132" t="s">
        <v>146</v>
      </c>
      <c r="O132">
        <f>M132/2</f>
        <v>2.7526000000000002</v>
      </c>
    </row>
    <row r="133" spans="12:19" x14ac:dyDescent="0.2">
      <c r="L133" t="s">
        <v>403</v>
      </c>
      <c r="M133" s="123">
        <f>($M$41+CONVERT(VesselCharacteristics!$I$23,"in","mm")+M132*0.5)</f>
        <v>15.035232333657628</v>
      </c>
      <c r="N133" t="s">
        <v>146</v>
      </c>
    </row>
    <row r="134" spans="12:19" x14ac:dyDescent="0.2">
      <c r="L134" t="s">
        <v>404</v>
      </c>
      <c r="M134" s="123">
        <f>COS(RADIANS(20))*(M129+2)</f>
        <v>7.846433383562335</v>
      </c>
      <c r="N134" t="s">
        <v>146</v>
      </c>
    </row>
    <row r="135" spans="12:19" x14ac:dyDescent="0.2">
      <c r="L135" t="s">
        <v>405</v>
      </c>
      <c r="M135" s="123">
        <f>M133-SIN(RADIANS(20))*($M$129+2)</f>
        <v>12.179364136888294</v>
      </c>
      <c r="N135" t="s">
        <v>146</v>
      </c>
    </row>
    <row r="136" spans="12:19" x14ac:dyDescent="0.2">
      <c r="L136" s="106" t="s">
        <v>407</v>
      </c>
      <c r="M136" s="123">
        <f>($M$53+CONVERT(VesselCharacteristics!$I$23,"in","mm")+M126*0.5)</f>
        <v>21.026379501476086</v>
      </c>
      <c r="N136" s="106" t="s">
        <v>408</v>
      </c>
    </row>
    <row r="137" spans="12:19" x14ac:dyDescent="0.2">
      <c r="L137" s="106" t="s">
        <v>410</v>
      </c>
      <c r="M137">
        <f>CONVERT(0.294,"in","mm")+0.4</f>
        <v>7.8676000000000004</v>
      </c>
      <c r="N137" s="106" t="s">
        <v>146</v>
      </c>
      <c r="O137">
        <f>M137/2</f>
        <v>3.9338000000000002</v>
      </c>
      <c r="P137">
        <f>22.77897-19.27377</f>
        <v>3.5052000000000021</v>
      </c>
      <c r="Q137">
        <f>M137/P137</f>
        <v>2.2445509528700205</v>
      </c>
    </row>
    <row r="138" spans="12:19" x14ac:dyDescent="0.2">
      <c r="L138" s="106" t="s">
        <v>411</v>
      </c>
      <c r="M138">
        <f>CONVERT(0.097,"in","mm")+0.35</f>
        <v>2.8138000000000001</v>
      </c>
      <c r="N138" s="106" t="s">
        <v>146</v>
      </c>
      <c r="O138">
        <f>M138/2</f>
        <v>1.4069</v>
      </c>
      <c r="P138">
        <f>116.107-M138-0.35</f>
        <v>112.9432</v>
      </c>
      <c r="Q138">
        <f>P138-M129</f>
        <v>106.59320000000001</v>
      </c>
    </row>
    <row r="140" spans="12:19" x14ac:dyDescent="0.2">
      <c r="M140">
        <f>M136+M137*0.2</f>
        <v>22.599899501476088</v>
      </c>
      <c r="N140">
        <f>M136-M137*0.5</f>
        <v>17.092579501476084</v>
      </c>
    </row>
    <row r="141" spans="12:19" x14ac:dyDescent="0.2">
      <c r="L141">
        <f>M137/M127</f>
        <v>3.7409182547833701</v>
      </c>
    </row>
    <row r="143" spans="12:19" x14ac:dyDescent="0.2">
      <c r="L143">
        <f>17.5</f>
        <v>17.5</v>
      </c>
      <c r="M143">
        <f>CONVERT(0.07,"in","mm")</f>
        <v>1.778</v>
      </c>
      <c r="N143">
        <f>L143-M143</f>
        <v>15.722</v>
      </c>
      <c r="P143">
        <f>17.5049-14.21109</f>
        <v>3.2938099999999988</v>
      </c>
      <c r="Q143">
        <f>M137/P143</f>
        <v>2.3886016497612199</v>
      </c>
      <c r="S143">
        <f>24.96017-17.09258</f>
        <v>7.8675899999999999</v>
      </c>
    </row>
    <row r="144" spans="12:19" x14ac:dyDescent="0.2">
      <c r="M144">
        <f>M61-M143*0.75</f>
        <v>114.77350336398216</v>
      </c>
      <c r="P144">
        <f>CONVERT((22.05773-19.97482),"mm","in")</f>
        <v>8.2004330708661338E-2</v>
      </c>
      <c r="S144">
        <f>116.108-113.29319</f>
        <v>2.8148100000000085</v>
      </c>
    </row>
    <row r="145" spans="12:20" x14ac:dyDescent="0.2">
      <c r="M145">
        <f>17-13.99137</f>
        <v>3.0086300000000001</v>
      </c>
      <c r="N145">
        <f>22.07793-19.97482</f>
        <v>2.1031099999999974</v>
      </c>
      <c r="O145" s="106">
        <f>CONVERT(0.1065,"in","mm")</f>
        <v>2.7050999999999998</v>
      </c>
      <c r="S145">
        <f>113.10802-105.91989</f>
        <v>7.188130000000001</v>
      </c>
    </row>
    <row r="146" spans="12:20" x14ac:dyDescent="0.2">
      <c r="L146">
        <f>15.1594-13.18312</f>
        <v>1.9762799999999991</v>
      </c>
      <c r="O146">
        <f>O145/N145</f>
        <v>1.286237999914414</v>
      </c>
      <c r="S146">
        <f>22.07793-19.97482+1.25*2</f>
        <v>4.6031099999999974</v>
      </c>
    </row>
    <row r="147" spans="12:20" x14ac:dyDescent="0.2">
      <c r="L147">
        <f>16.48172-13.18791</f>
        <v>3.2938099999999988</v>
      </c>
      <c r="M147">
        <f>23.07-21.33946</f>
        <v>1.7305400000000013</v>
      </c>
      <c r="O147">
        <f>O145-N145</f>
        <v>0.60199000000000247</v>
      </c>
      <c r="S147">
        <f>107.85703-100.35703</f>
        <v>7.5</v>
      </c>
      <c r="T147">
        <f>S147/2</f>
        <v>3.75</v>
      </c>
    </row>
    <row r="148" spans="12:20" x14ac:dyDescent="0.2">
      <c r="S148">
        <f>CONVERT(M26,"in","mm")</f>
        <v>4.3052999999999999</v>
      </c>
    </row>
    <row r="149" spans="12:20" x14ac:dyDescent="0.2">
      <c r="N149">
        <f>24.96017-17.09258</f>
        <v>7.8675899999999999</v>
      </c>
      <c r="S149">
        <f>1.191+1.474+0.6</f>
        <v>3.2650000000000001</v>
      </c>
    </row>
    <row r="150" spans="12:20" x14ac:dyDescent="0.2">
      <c r="N150">
        <f>116.108-113.29319</f>
        <v>2.8148100000000085</v>
      </c>
      <c r="S150">
        <f>1.191+2.6+0.6</f>
        <v>4.391</v>
      </c>
    </row>
    <row r="152" spans="12:20" x14ac:dyDescent="0.2">
      <c r="S152">
        <f>2.4+3.054*0.5</f>
        <v>3.9269999999999996</v>
      </c>
    </row>
    <row r="153" spans="12:20" x14ac:dyDescent="0.2">
      <c r="N153">
        <f>CONVERT(0.07,"in","mm")</f>
        <v>1.778</v>
      </c>
    </row>
  </sheetData>
  <mergeCells count="2">
    <mergeCell ref="B11:C11"/>
    <mergeCell ref="F11:H11"/>
  </mergeCells>
  <pageMargins left="0.25" right="0.25" top="0.75" bottom="0.75" header="0.3" footer="0.3"/>
  <pageSetup scale="37"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Z115"/>
  <sheetViews>
    <sheetView zoomScaleNormal="100" workbookViewId="0">
      <selection activeCell="C63" sqref="C63"/>
    </sheetView>
  </sheetViews>
  <sheetFormatPr defaultRowHeight="12.75" x14ac:dyDescent="0.2"/>
  <cols>
    <col min="2" max="2" width="10.28515625" customWidth="1"/>
    <col min="3" max="3" width="10.7109375" customWidth="1"/>
    <col min="5" max="5" width="11" customWidth="1"/>
    <col min="6" max="6" width="8.85546875" customWidth="1"/>
    <col min="7" max="7" width="11.28515625" customWidth="1"/>
    <col min="8" max="8" width="11.85546875" customWidth="1"/>
    <col min="10" max="10" width="22.85546875" bestFit="1" customWidth="1"/>
    <col min="11" max="11" width="12.5703125" customWidth="1"/>
    <col min="13" max="13" width="12.5703125" customWidth="1"/>
    <col min="43" max="43" width="31.140625" customWidth="1"/>
    <col min="44" max="44" width="15.42578125" bestFit="1" customWidth="1"/>
    <col min="45" max="45" width="88.140625" style="267" customWidth="1"/>
    <col min="46" max="46" width="16.5703125" customWidth="1"/>
    <col min="47" max="47" width="11.42578125" bestFit="1" customWidth="1"/>
    <col min="48" max="48" width="13.140625" bestFit="1" customWidth="1"/>
    <col min="49" max="49" width="9.7109375" bestFit="1" customWidth="1"/>
    <col min="50" max="50" width="11" bestFit="1" customWidth="1"/>
    <col min="52" max="52" width="10.7109375" bestFit="1" customWidth="1"/>
  </cols>
  <sheetData>
    <row r="2" spans="37:52" ht="15" x14ac:dyDescent="0.25">
      <c r="AV2" s="268"/>
      <c r="AX2" s="268"/>
      <c r="AZ2" s="268"/>
    </row>
    <row r="3" spans="37:52" ht="15" x14ac:dyDescent="0.25">
      <c r="AW3" s="300"/>
      <c r="AX3" s="300"/>
      <c r="AY3" s="300"/>
      <c r="AZ3" s="300"/>
    </row>
    <row r="4" spans="37:52" ht="15" x14ac:dyDescent="0.25">
      <c r="AQ4" s="266"/>
      <c r="AR4" s="266"/>
      <c r="AS4" s="269"/>
      <c r="AT4" s="266"/>
      <c r="AU4" s="266"/>
      <c r="AV4" s="266"/>
      <c r="AW4" s="266"/>
      <c r="AX4" s="266"/>
      <c r="AY4" s="266"/>
      <c r="AZ4" s="266"/>
    </row>
    <row r="5" spans="37:52" x14ac:dyDescent="0.2">
      <c r="AT5" s="270"/>
      <c r="AV5" s="270"/>
      <c r="AX5" s="270"/>
      <c r="AZ5" s="270"/>
    </row>
    <row r="6" spans="37:52" x14ac:dyDescent="0.2">
      <c r="AT6" s="270"/>
      <c r="AV6" s="270"/>
      <c r="AX6" s="270"/>
      <c r="AZ6" s="270"/>
    </row>
    <row r="7" spans="37:52" x14ac:dyDescent="0.2">
      <c r="AQ7" s="271"/>
      <c r="AT7" s="270"/>
      <c r="AV7" s="270"/>
      <c r="AX7" s="270"/>
      <c r="AZ7" s="270"/>
    </row>
    <row r="8" spans="37:52" x14ac:dyDescent="0.2">
      <c r="AT8" s="270"/>
      <c r="AV8" s="270"/>
      <c r="AX8" s="270"/>
      <c r="AZ8" s="270"/>
    </row>
    <row r="9" spans="37:52" x14ac:dyDescent="0.2">
      <c r="AK9" t="s">
        <v>357</v>
      </c>
      <c r="AT9" s="270"/>
      <c r="AV9" s="270"/>
      <c r="AX9" s="270"/>
      <c r="AZ9" s="270"/>
    </row>
    <row r="10" spans="37:52" x14ac:dyDescent="0.2">
      <c r="AT10" s="270"/>
      <c r="AV10" s="270"/>
      <c r="AX10" s="270"/>
      <c r="AZ10" s="270"/>
    </row>
    <row r="11" spans="37:52" x14ac:dyDescent="0.2">
      <c r="AK11" t="s">
        <v>358</v>
      </c>
      <c r="AT11" s="270"/>
      <c r="AV11" s="270"/>
      <c r="AX11" s="270"/>
      <c r="AZ11" s="270"/>
    </row>
    <row r="12" spans="37:52" x14ac:dyDescent="0.2">
      <c r="AT12" s="270"/>
      <c r="AV12" s="270"/>
      <c r="AX12" s="270"/>
      <c r="AZ12" s="270"/>
    </row>
    <row r="13" spans="37:52" x14ac:dyDescent="0.2">
      <c r="AK13" t="s">
        <v>359</v>
      </c>
      <c r="AT13" s="270"/>
      <c r="AV13" s="270"/>
      <c r="AX13" s="270"/>
      <c r="AZ13" s="270"/>
    </row>
    <row r="14" spans="37:52" x14ac:dyDescent="0.2">
      <c r="AT14" s="270"/>
      <c r="AV14" s="270"/>
      <c r="AX14" s="270"/>
      <c r="AZ14" s="270"/>
    </row>
    <row r="15" spans="37:52" x14ac:dyDescent="0.2">
      <c r="AK15" t="s">
        <v>360</v>
      </c>
      <c r="AT15" s="270"/>
      <c r="AV15" s="270"/>
      <c r="AX15" s="270"/>
      <c r="AZ15" s="270"/>
    </row>
    <row r="16" spans="37:52" x14ac:dyDescent="0.2">
      <c r="AT16" s="270"/>
      <c r="AV16" s="270"/>
      <c r="AX16" s="270"/>
      <c r="AZ16" s="270"/>
    </row>
    <row r="17" spans="37:52" x14ac:dyDescent="0.2">
      <c r="AT17" s="270"/>
      <c r="AV17" s="270"/>
      <c r="AX17" s="270"/>
      <c r="AZ17" s="270"/>
    </row>
    <row r="18" spans="37:52" x14ac:dyDescent="0.2">
      <c r="AK18" s="106" t="s">
        <v>375</v>
      </c>
      <c r="AT18" s="270"/>
      <c r="AV18" s="270"/>
      <c r="AX18" s="270"/>
      <c r="AZ18" s="270"/>
    </row>
    <row r="19" spans="37:52" x14ac:dyDescent="0.2">
      <c r="AK19" s="106"/>
      <c r="AT19" s="270"/>
      <c r="AV19" s="270"/>
      <c r="AX19" s="270"/>
      <c r="AZ19" s="270"/>
    </row>
    <row r="20" spans="37:52" x14ac:dyDescent="0.2">
      <c r="AK20" t="s">
        <v>361</v>
      </c>
      <c r="AT20" s="270"/>
      <c r="AV20" s="270"/>
      <c r="AX20" s="270"/>
      <c r="AZ20" s="270"/>
    </row>
    <row r="21" spans="37:52" x14ac:dyDescent="0.2">
      <c r="AT21" s="270"/>
      <c r="AV21" s="270"/>
      <c r="AX21" s="270"/>
      <c r="AZ21" s="270"/>
    </row>
    <row r="22" spans="37:52" x14ac:dyDescent="0.2">
      <c r="AK22" t="s">
        <v>362</v>
      </c>
      <c r="AT22" s="270"/>
      <c r="AV22" s="270"/>
    </row>
    <row r="23" spans="37:52" x14ac:dyDescent="0.2">
      <c r="AT23" s="270"/>
      <c r="AV23" s="270"/>
    </row>
    <row r="24" spans="37:52" x14ac:dyDescent="0.2">
      <c r="AK24" t="s">
        <v>363</v>
      </c>
      <c r="AT24" s="270"/>
      <c r="AV24" s="270"/>
    </row>
    <row r="25" spans="37:52" x14ac:dyDescent="0.2">
      <c r="AT25" s="270"/>
      <c r="AV25" s="270"/>
    </row>
    <row r="26" spans="37:52" x14ac:dyDescent="0.2">
      <c r="AK26" t="s">
        <v>364</v>
      </c>
      <c r="AT26" s="270"/>
      <c r="AV26" s="270"/>
    </row>
    <row r="27" spans="37:52" x14ac:dyDescent="0.2">
      <c r="AT27" s="270"/>
      <c r="AV27" s="270"/>
    </row>
    <row r="28" spans="37:52" x14ac:dyDescent="0.2">
      <c r="AK28" t="s">
        <v>365</v>
      </c>
    </row>
    <row r="30" spans="37:52" x14ac:dyDescent="0.2">
      <c r="AK30" t="s">
        <v>366</v>
      </c>
    </row>
    <row r="32" spans="37:52" x14ac:dyDescent="0.2">
      <c r="AK32" t="s">
        <v>367</v>
      </c>
    </row>
    <row r="33" spans="37:37" customFormat="1" x14ac:dyDescent="0.2"/>
    <row r="34" spans="37:37" x14ac:dyDescent="0.2">
      <c r="AK34" t="s">
        <v>368</v>
      </c>
    </row>
    <row r="35" spans="37:37" customFormat="1" x14ac:dyDescent="0.2"/>
    <row r="36" spans="37:37" x14ac:dyDescent="0.2">
      <c r="AK36" s="106" t="s">
        <v>376</v>
      </c>
    </row>
    <row r="37" spans="37:37" customFormat="1" x14ac:dyDescent="0.2"/>
    <row r="38" spans="37:37" x14ac:dyDescent="0.2">
      <c r="AK38" t="s">
        <v>369</v>
      </c>
    </row>
    <row r="39" spans="37:37" customFormat="1" x14ac:dyDescent="0.2"/>
    <row r="40" spans="37:37" x14ac:dyDescent="0.2">
      <c r="AK40" t="s">
        <v>370</v>
      </c>
    </row>
    <row r="41" spans="37:37" customFormat="1" x14ac:dyDescent="0.2"/>
    <row r="42" spans="37:37" x14ac:dyDescent="0.2">
      <c r="AK42" t="s">
        <v>371</v>
      </c>
    </row>
    <row r="43" spans="37:37" customFormat="1" x14ac:dyDescent="0.2"/>
    <row r="44" spans="37:37" x14ac:dyDescent="0.2">
      <c r="AK44" t="s">
        <v>372</v>
      </c>
    </row>
    <row r="46" spans="37:37" x14ac:dyDescent="0.2">
      <c r="AK46" t="s">
        <v>373</v>
      </c>
    </row>
    <row r="48" spans="37:37" x14ac:dyDescent="0.2">
      <c r="AK48" t="s">
        <v>374</v>
      </c>
    </row>
    <row r="68" spans="2:39" s="1" customFormat="1" x14ac:dyDescent="0.2">
      <c r="AH68"/>
      <c r="AI68"/>
      <c r="AJ68"/>
      <c r="AK68"/>
      <c r="AL68"/>
      <c r="AM68"/>
    </row>
    <row r="69" spans="2:39" s="1" customFormat="1" ht="15" x14ac:dyDescent="0.25">
      <c r="B69" s="272"/>
      <c r="C69" s="272"/>
      <c r="D69" s="272"/>
      <c r="E69" s="272"/>
      <c r="F69" s="272"/>
      <c r="G69" s="272"/>
      <c r="H69" s="272"/>
      <c r="I69" s="272"/>
      <c r="J69" s="272"/>
      <c r="L69" s="272"/>
      <c r="M69" s="272"/>
      <c r="N69" s="16"/>
      <c r="O69" s="16"/>
      <c r="P69" s="16"/>
      <c r="Q69" s="16"/>
      <c r="R69" s="16"/>
      <c r="S69" s="16"/>
      <c r="T69" s="16"/>
      <c r="U69" s="16"/>
      <c r="V69" s="16"/>
      <c r="W69" s="16"/>
      <c r="X69" s="16"/>
      <c r="Y69" s="16"/>
      <c r="Z69" s="16"/>
      <c r="AA69" s="16"/>
      <c r="AB69" s="16"/>
      <c r="AC69" s="16"/>
      <c r="AD69" s="16"/>
      <c r="AE69" s="16"/>
      <c r="AF69" s="16"/>
      <c r="AG69" s="16"/>
      <c r="AI69"/>
      <c r="AJ69"/>
      <c r="AK69"/>
      <c r="AL69"/>
    </row>
    <row r="70" spans="2:39" s="1" customFormat="1" x14ac:dyDescent="0.2">
      <c r="B70" s="274"/>
      <c r="D70" s="273"/>
      <c r="L70" s="275"/>
      <c r="AH70" s="16"/>
      <c r="AI70"/>
      <c r="AJ70"/>
      <c r="AK70"/>
      <c r="AL70"/>
    </row>
    <row r="71" spans="2:39" s="1" customFormat="1" x14ac:dyDescent="0.2">
      <c r="D71" s="273"/>
      <c r="AI71"/>
      <c r="AJ71"/>
      <c r="AK71"/>
    </row>
    <row r="72" spans="2:39" s="1" customFormat="1" x14ac:dyDescent="0.2">
      <c r="B72" s="274"/>
      <c r="D72" s="273"/>
      <c r="AI72"/>
      <c r="AJ72"/>
      <c r="AK72"/>
    </row>
    <row r="73" spans="2:39" s="1" customFormat="1" x14ac:dyDescent="0.2">
      <c r="D73" s="273"/>
    </row>
    <row r="74" spans="2:39" s="1" customFormat="1" x14ac:dyDescent="0.2">
      <c r="B74" s="274"/>
      <c r="D74" s="273"/>
    </row>
    <row r="75" spans="2:39" s="1" customFormat="1" x14ac:dyDescent="0.2">
      <c r="D75" s="273"/>
    </row>
    <row r="76" spans="2:39" s="1" customFormat="1" x14ac:dyDescent="0.2">
      <c r="B76" s="274"/>
      <c r="D76" s="273"/>
      <c r="L76" s="274"/>
    </row>
    <row r="77" spans="2:39" s="1" customFormat="1" x14ac:dyDescent="0.2">
      <c r="D77" s="273"/>
    </row>
    <row r="78" spans="2:39" s="1" customFormat="1" x14ac:dyDescent="0.2">
      <c r="B78" s="274"/>
      <c r="D78" s="273"/>
    </row>
    <row r="79" spans="2:39" s="1" customFormat="1" x14ac:dyDescent="0.2">
      <c r="D79" s="273"/>
    </row>
    <row r="80" spans="2:39" s="1" customFormat="1" x14ac:dyDescent="0.2">
      <c r="B80" s="274"/>
      <c r="D80" s="273"/>
    </row>
    <row r="81" spans="4:45" s="1" customFormat="1" x14ac:dyDescent="0.2">
      <c r="D81" s="273"/>
    </row>
    <row r="82" spans="4:45" s="1" customFormat="1" x14ac:dyDescent="0.2">
      <c r="D82" s="273"/>
      <c r="L82" s="275"/>
      <c r="N82" s="3"/>
    </row>
    <row r="83" spans="4:45" s="1" customFormat="1" x14ac:dyDescent="0.2">
      <c r="N83" s="3"/>
    </row>
    <row r="84" spans="4:45" s="1" customFormat="1" x14ac:dyDescent="0.2">
      <c r="N84" s="3"/>
    </row>
    <row r="85" spans="4:45" s="1" customFormat="1" x14ac:dyDescent="0.2">
      <c r="N85" s="3"/>
    </row>
    <row r="86" spans="4:45" s="1" customFormat="1" x14ac:dyDescent="0.2">
      <c r="N86" s="3"/>
    </row>
    <row r="87" spans="4:45" s="1" customFormat="1" x14ac:dyDescent="0.2">
      <c r="N87" s="3"/>
    </row>
    <row r="88" spans="4:45" s="1" customFormat="1" x14ac:dyDescent="0.2">
      <c r="AS88" s="276"/>
    </row>
    <row r="89" spans="4:45" s="1" customFormat="1" x14ac:dyDescent="0.2">
      <c r="AS89" s="276"/>
    </row>
    <row r="90" spans="4:45" s="1" customFormat="1" x14ac:dyDescent="0.2">
      <c r="AS90" s="276"/>
    </row>
    <row r="91" spans="4:45" s="1" customFormat="1" x14ac:dyDescent="0.2">
      <c r="AS91" s="276"/>
    </row>
    <row r="92" spans="4:45" s="1" customFormat="1" x14ac:dyDescent="0.2">
      <c r="AS92" s="276"/>
    </row>
    <row r="93" spans="4:45" s="1" customFormat="1" x14ac:dyDescent="0.2">
      <c r="AS93" s="276"/>
    </row>
    <row r="94" spans="4:45" s="1" customFormat="1" x14ac:dyDescent="0.2">
      <c r="AS94" s="276"/>
    </row>
    <row r="95" spans="4:45" s="1" customFormat="1" x14ac:dyDescent="0.2">
      <c r="AS95" s="276"/>
    </row>
    <row r="96" spans="4:45" s="1" customFormat="1" x14ac:dyDescent="0.2">
      <c r="AS96" s="276"/>
    </row>
    <row r="97" spans="34:45" s="1" customFormat="1" x14ac:dyDescent="0.2">
      <c r="AS97" s="276"/>
    </row>
    <row r="98" spans="34:45" s="1" customFormat="1" x14ac:dyDescent="0.2">
      <c r="AS98" s="276"/>
    </row>
    <row r="99" spans="34:45" s="1" customFormat="1" x14ac:dyDescent="0.2">
      <c r="AS99" s="276"/>
    </row>
    <row r="100" spans="34:45" s="1" customFormat="1" x14ac:dyDescent="0.2">
      <c r="AS100" s="276"/>
    </row>
    <row r="101" spans="34:45" s="1" customFormat="1" x14ac:dyDescent="0.2">
      <c r="AS101" s="276"/>
    </row>
    <row r="102" spans="34:45" s="1" customFormat="1" x14ac:dyDescent="0.2">
      <c r="AS102" s="276"/>
    </row>
    <row r="103" spans="34:45" s="1" customFormat="1" x14ac:dyDescent="0.2">
      <c r="AS103" s="276"/>
    </row>
    <row r="104" spans="34:45" s="1" customFormat="1" x14ac:dyDescent="0.2">
      <c r="AS104" s="276"/>
    </row>
    <row r="105" spans="34:45" s="1" customFormat="1" x14ac:dyDescent="0.2">
      <c r="AS105" s="276"/>
    </row>
    <row r="106" spans="34:45" s="1" customFormat="1" x14ac:dyDescent="0.2">
      <c r="AS106" s="276"/>
    </row>
    <row r="107" spans="34:45" s="1" customFormat="1" x14ac:dyDescent="0.2">
      <c r="AS107" s="276"/>
    </row>
    <row r="108" spans="34:45" s="1" customFormat="1" x14ac:dyDescent="0.2">
      <c r="AS108" s="276"/>
    </row>
    <row r="109" spans="34:45" s="1" customFormat="1" x14ac:dyDescent="0.2">
      <c r="AS109" s="276"/>
    </row>
    <row r="110" spans="34:45" s="1" customFormat="1" x14ac:dyDescent="0.2">
      <c r="AS110" s="276"/>
    </row>
    <row r="111" spans="34:45" x14ac:dyDescent="0.2">
      <c r="AH111" s="1"/>
      <c r="AI111" s="1"/>
      <c r="AJ111" s="1"/>
      <c r="AK111" s="1"/>
      <c r="AL111" s="1"/>
      <c r="AM111" s="1"/>
    </row>
    <row r="112" spans="34:45" x14ac:dyDescent="0.2">
      <c r="AI112" s="1"/>
      <c r="AJ112" s="1"/>
      <c r="AK112" s="1"/>
      <c r="AL112" s="1"/>
    </row>
    <row r="113" spans="35:38" x14ac:dyDescent="0.2">
      <c r="AI113" s="1"/>
      <c r="AJ113" s="1"/>
      <c r="AK113" s="1"/>
      <c r="AL113" s="1"/>
    </row>
    <row r="114" spans="35:38" x14ac:dyDescent="0.2">
      <c r="AI114" s="1"/>
      <c r="AJ114" s="1"/>
      <c r="AK114" s="1"/>
    </row>
    <row r="115" spans="35:38" x14ac:dyDescent="0.2">
      <c r="AI115" s="1"/>
      <c r="AJ115" s="1"/>
      <c r="AK115" s="1"/>
    </row>
  </sheetData>
  <mergeCells count="2">
    <mergeCell ref="AW3:AX3"/>
    <mergeCell ref="AY3:AZ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VesselCharacteristics</vt:lpstr>
      <vt:lpstr>Engine Design</vt:lpstr>
      <vt:lpstr>Plumbing</vt:lpstr>
      <vt:lpstr>hgNominal</vt:lpstr>
      <vt:lpstr>Rd_t</vt:lpstr>
      <vt:lpstr>sigma_t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Sortino</dc:creator>
  <cp:lastModifiedBy>gNSortino</cp:lastModifiedBy>
  <cp:lastPrinted>2011-08-05T13:32:17Z</cp:lastPrinted>
  <dcterms:created xsi:type="dcterms:W3CDTF">1996-10-14T23:33:28Z</dcterms:created>
  <dcterms:modified xsi:type="dcterms:W3CDTF">2014-11-07T18:31:03Z</dcterms:modified>
</cp:coreProperties>
</file>