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3120" windowWidth="13125" windowHeight="4590" tabRatio="920"/>
  </bookViews>
  <sheets>
    <sheet name="VesselCharacteristics" sheetId="14" r:id="rId1"/>
    <sheet name="Igniter Design" sheetId="16" r:id="rId2"/>
  </sheets>
  <definedNames>
    <definedName name="hgNominal">VesselCharacteristics!$B$68</definedName>
    <definedName name="_xlnm.Print_Area" localSheetId="1">'Igniter Design'!$A$1:$I$29</definedName>
    <definedName name="Rd_t">VesselCharacteristics!$D$66</definedName>
    <definedName name="sigma_t">VesselCharacteristics!$D$67</definedName>
  </definedNames>
  <calcPr calcId="145621"/>
</workbook>
</file>

<file path=xl/calcChain.xml><?xml version="1.0" encoding="utf-8"?>
<calcChain xmlns="http://schemas.openxmlformats.org/spreadsheetml/2006/main">
  <c r="E17" i="16" l="1"/>
  <c r="AA22" i="14" l="1"/>
  <c r="X22" i="14"/>
  <c r="X21" i="14"/>
  <c r="AA21" i="14" s="1"/>
  <c r="X20" i="14"/>
  <c r="AA20" i="14" s="1"/>
  <c r="X19" i="14"/>
  <c r="AA19" i="14" s="1"/>
  <c r="X18" i="14"/>
  <c r="AA18" i="14" s="1"/>
  <c r="X17" i="14"/>
  <c r="AA17" i="14" s="1"/>
  <c r="AA16" i="14"/>
  <c r="X16" i="14"/>
  <c r="AA15" i="14"/>
  <c r="X15" i="14"/>
  <c r="AA14" i="14"/>
  <c r="X14" i="14"/>
  <c r="X13" i="14"/>
  <c r="AA13" i="14" s="1"/>
  <c r="X12" i="14"/>
  <c r="AA12" i="14" s="1"/>
  <c r="X11" i="14"/>
  <c r="AA11" i="14" s="1"/>
  <c r="X10" i="14"/>
  <c r="AA10" i="14" s="1"/>
  <c r="X9" i="14"/>
  <c r="AA9" i="14" s="1"/>
  <c r="AA8" i="14"/>
  <c r="X8" i="14"/>
  <c r="AA7" i="14"/>
  <c r="X7" i="14"/>
  <c r="AA6" i="14"/>
  <c r="X6" i="14"/>
  <c r="X5" i="14"/>
  <c r="AA5" i="14" s="1"/>
  <c r="X4" i="14"/>
  <c r="AA4" i="14" s="1"/>
  <c r="X3" i="14"/>
  <c r="AA3" i="14" s="1"/>
  <c r="C8" i="14" l="1"/>
  <c r="E47" i="16"/>
  <c r="F46" i="16" s="1"/>
  <c r="E40" i="16"/>
  <c r="H41" i="16"/>
  <c r="G41" i="16"/>
  <c r="I44" i="16"/>
  <c r="G43" i="16"/>
  <c r="F35" i="16"/>
  <c r="E37" i="16"/>
  <c r="C37" i="16"/>
  <c r="F33" i="16"/>
  <c r="G46" i="16" l="1"/>
  <c r="G47" i="16" s="1"/>
  <c r="F47" i="16"/>
  <c r="C33" i="16" l="1"/>
  <c r="E31" i="16"/>
  <c r="G23" i="16" l="1"/>
  <c r="F23" i="16"/>
  <c r="C11" i="16"/>
  <c r="C50" i="14"/>
  <c r="C35" i="14"/>
  <c r="C61" i="14"/>
  <c r="C23" i="16" l="1"/>
  <c r="E23" i="16" s="1"/>
  <c r="E30" i="16"/>
  <c r="F30" i="16" s="1"/>
  <c r="E35" i="16"/>
  <c r="E33" i="16"/>
  <c r="E29" i="16"/>
  <c r="E27" i="16"/>
  <c r="C17" i="16"/>
  <c r="C5" i="16"/>
  <c r="C14" i="14"/>
  <c r="I9" i="14"/>
  <c r="I10" i="14" s="1"/>
  <c r="I14" i="14"/>
  <c r="I18" i="14"/>
  <c r="I19" i="14" s="1"/>
  <c r="I22" i="14"/>
  <c r="I40" i="14"/>
  <c r="I41" i="14"/>
  <c r="I42" i="14"/>
  <c r="I45" i="14"/>
  <c r="I46" i="14"/>
  <c r="I48" i="14"/>
  <c r="I50" i="14"/>
  <c r="I51" i="14"/>
  <c r="I52" i="14" s="1"/>
  <c r="I20" i="14" l="1"/>
  <c r="F45" i="14"/>
  <c r="F43" i="14"/>
  <c r="F42" i="14"/>
  <c r="F44" i="14" s="1"/>
  <c r="F41" i="14"/>
  <c r="F46" i="14" l="1"/>
  <c r="I17" i="14" l="1"/>
  <c r="J26" i="14"/>
  <c r="I26" i="14"/>
  <c r="C62" i="14" l="1"/>
  <c r="F28" i="14" l="1"/>
  <c r="GX13" i="14" l="1"/>
  <c r="C10" i="14" l="1"/>
  <c r="I16" i="14" l="1"/>
  <c r="C25" i="14"/>
  <c r="I12" i="14" l="1"/>
  <c r="C17" i="14"/>
  <c r="J29" i="14" l="1"/>
  <c r="I30" i="14"/>
  <c r="I29" i="14"/>
  <c r="J30" i="14"/>
  <c r="F40" i="14"/>
  <c r="F39" i="14"/>
  <c r="C15" i="14"/>
  <c r="C13" i="14"/>
  <c r="C36" i="14" l="1"/>
  <c r="N5" i="14" s="1"/>
  <c r="F18" i="14" l="1"/>
  <c r="C20" i="14"/>
  <c r="C21" i="14" s="1"/>
  <c r="C18" i="14"/>
  <c r="C19" i="14"/>
  <c r="F12" i="14" l="1"/>
  <c r="C27" i="14"/>
  <c r="C28" i="14" s="1"/>
  <c r="C29" i="14" s="1"/>
  <c r="C23" i="14"/>
  <c r="K25" i="14" l="1"/>
  <c r="F13" i="14"/>
  <c r="F15" i="14"/>
  <c r="F17" i="14" s="1"/>
  <c r="F21" i="14"/>
  <c r="E66" i="14" s="1"/>
  <c r="K26" i="14" l="1"/>
  <c r="K30" i="14"/>
  <c r="K29" i="14"/>
  <c r="C46" i="14"/>
  <c r="C48" i="14" s="1"/>
  <c r="F26" i="14"/>
  <c r="F19" i="14"/>
  <c r="F20" i="14"/>
  <c r="F25" i="14"/>
  <c r="F22" i="14"/>
  <c r="GW9" i="14"/>
  <c r="C51" i="14"/>
  <c r="AG18" i="14" l="1"/>
  <c r="AG19" i="14"/>
  <c r="AG11" i="14"/>
  <c r="AG20" i="14"/>
  <c r="AG12" i="14"/>
  <c r="AG4" i="14"/>
  <c r="AG22" i="14"/>
  <c r="AH22" i="14" s="1"/>
  <c r="AG14" i="14"/>
  <c r="AG16" i="14"/>
  <c r="AG9" i="14"/>
  <c r="AG3" i="14"/>
  <c r="AH3" i="14" s="1"/>
  <c r="AG21" i="14"/>
  <c r="AG13" i="14"/>
  <c r="AG5" i="14"/>
  <c r="AG6" i="14"/>
  <c r="AG15" i="14"/>
  <c r="AG7" i="14"/>
  <c r="AG8" i="14"/>
  <c r="AG17" i="14"/>
  <c r="AG10" i="14"/>
  <c r="F57" i="14"/>
  <c r="F58" i="14" s="1"/>
  <c r="AF10" i="14"/>
  <c r="AI10" i="14" s="1"/>
  <c r="AF19" i="14"/>
  <c r="AF11" i="14"/>
  <c r="AF3" i="14"/>
  <c r="AF5" i="14"/>
  <c r="AF7" i="14"/>
  <c r="AF20" i="14"/>
  <c r="AI20" i="14" s="1"/>
  <c r="AF12" i="14"/>
  <c r="AI12" i="14" s="1"/>
  <c r="AF4" i="14"/>
  <c r="AF21" i="14"/>
  <c r="AF13" i="14"/>
  <c r="AF22" i="14"/>
  <c r="AF14" i="14"/>
  <c r="AI14" i="14" s="1"/>
  <c r="AF6" i="14"/>
  <c r="AF15" i="14"/>
  <c r="AF16" i="14"/>
  <c r="AF8" i="14"/>
  <c r="AF17" i="14"/>
  <c r="AF9" i="14"/>
  <c r="AF18" i="14"/>
  <c r="AI18" i="14" s="1"/>
  <c r="C10" i="16"/>
  <c r="E10" i="16" s="1"/>
  <c r="C49" i="14"/>
  <c r="E11" i="16"/>
  <c r="F53" i="14"/>
  <c r="I55" i="14"/>
  <c r="I56" i="14" s="1"/>
  <c r="C24" i="14"/>
  <c r="I28" i="14" s="1"/>
  <c r="I32" i="14" s="1"/>
  <c r="C47" i="14"/>
  <c r="F31" i="14"/>
  <c r="F32" i="14" s="1"/>
  <c r="F29" i="14"/>
  <c r="I54" i="14" s="1"/>
  <c r="I53" i="14" s="1"/>
  <c r="C31" i="14"/>
  <c r="C52" i="14"/>
  <c r="GW10" i="14"/>
  <c r="GX9" i="14"/>
  <c r="AI8" i="14" l="1"/>
  <c r="AH8" i="14"/>
  <c r="AI9" i="14"/>
  <c r="AH9" i="14"/>
  <c r="AI19" i="14"/>
  <c r="AH19" i="14"/>
  <c r="AI22" i="14"/>
  <c r="AI3" i="14"/>
  <c r="AI7" i="14"/>
  <c r="AH7" i="14"/>
  <c r="AI16" i="14"/>
  <c r="AH16" i="14"/>
  <c r="AH18" i="14"/>
  <c r="AI15" i="14"/>
  <c r="AH15" i="14"/>
  <c r="AH14" i="14"/>
  <c r="AI5" i="14"/>
  <c r="AH5" i="14"/>
  <c r="AI4" i="14"/>
  <c r="AH4" i="14"/>
  <c r="AI6" i="14"/>
  <c r="AH6" i="14"/>
  <c r="AC18" i="14"/>
  <c r="AC10" i="14"/>
  <c r="AC12" i="14"/>
  <c r="AC13" i="14"/>
  <c r="AC5" i="14"/>
  <c r="AC22" i="14"/>
  <c r="AC14" i="14"/>
  <c r="AC7" i="14"/>
  <c r="AC16" i="14"/>
  <c r="AC8" i="14"/>
  <c r="AC17" i="14"/>
  <c r="AC19" i="14"/>
  <c r="AC11" i="14"/>
  <c r="AC3" i="14"/>
  <c r="AC20" i="14"/>
  <c r="AC4" i="14"/>
  <c r="AC21" i="14"/>
  <c r="AC6" i="14"/>
  <c r="AC15" i="14"/>
  <c r="AC9" i="14"/>
  <c r="Z22" i="14"/>
  <c r="Y13" i="14"/>
  <c r="AB13" i="14" s="1"/>
  <c r="Z6" i="14"/>
  <c r="Y14" i="14"/>
  <c r="AB14" i="14" s="1"/>
  <c r="Z13" i="14"/>
  <c r="Z16" i="14"/>
  <c r="Y15" i="14"/>
  <c r="AB15" i="14" s="1"/>
  <c r="Z8" i="14"/>
  <c r="Y7" i="14"/>
  <c r="AB7" i="14" s="1"/>
  <c r="Z10" i="14"/>
  <c r="Y9" i="14"/>
  <c r="AB9" i="14" s="1"/>
  <c r="Z19" i="14"/>
  <c r="Y18" i="14"/>
  <c r="AB18" i="14" s="1"/>
  <c r="AE18" i="14" s="1"/>
  <c r="Z11" i="14"/>
  <c r="Y10" i="14"/>
  <c r="AB10" i="14" s="1"/>
  <c r="Z3" i="14"/>
  <c r="Z20" i="14"/>
  <c r="Y19" i="14"/>
  <c r="AB19" i="14" s="1"/>
  <c r="Z12" i="14"/>
  <c r="Y11" i="14"/>
  <c r="AB11" i="14" s="1"/>
  <c r="Y12" i="14"/>
  <c r="AB12" i="14" s="1"/>
  <c r="Z5" i="14"/>
  <c r="Y4" i="14"/>
  <c r="AB4" i="14" s="1"/>
  <c r="Y21" i="14"/>
  <c r="AB21" i="14" s="1"/>
  <c r="Y5" i="14"/>
  <c r="AB5" i="14" s="1"/>
  <c r="AE5" i="14" s="1"/>
  <c r="Y22" i="14"/>
  <c r="AB22" i="14" s="1"/>
  <c r="AE22" i="14" s="1"/>
  <c r="Z17" i="14"/>
  <c r="Y16" i="14"/>
  <c r="AB16" i="14" s="1"/>
  <c r="Z9" i="14"/>
  <c r="Y8" i="14"/>
  <c r="AB8" i="14" s="1"/>
  <c r="Z18" i="14"/>
  <c r="Y17" i="14"/>
  <c r="AB17" i="14" s="1"/>
  <c r="AE17" i="14" s="1"/>
  <c r="Z4" i="14"/>
  <c r="Y3" i="14"/>
  <c r="AB3" i="14" s="1"/>
  <c r="AE3" i="14" s="1"/>
  <c r="Z21" i="14"/>
  <c r="Y20" i="14"/>
  <c r="AB20" i="14" s="1"/>
  <c r="Z14" i="14"/>
  <c r="Z15" i="14"/>
  <c r="Z7" i="14"/>
  <c r="Y6" i="14"/>
  <c r="AB6" i="14" s="1"/>
  <c r="AI13" i="14"/>
  <c r="AH13" i="14"/>
  <c r="AH12" i="14"/>
  <c r="AH10" i="14"/>
  <c r="AI21" i="14"/>
  <c r="AH21" i="14"/>
  <c r="AH20" i="14"/>
  <c r="AI17" i="14"/>
  <c r="AH17" i="14"/>
  <c r="AI11" i="14"/>
  <c r="AH11" i="14"/>
  <c r="K28" i="14"/>
  <c r="K32" i="14" s="1"/>
  <c r="K34" i="14"/>
  <c r="K36" i="14" s="1"/>
  <c r="I34" i="14"/>
  <c r="I36" i="14" s="1"/>
  <c r="I27" i="14"/>
  <c r="J27" i="14"/>
  <c r="K27" i="14"/>
  <c r="J28" i="14"/>
  <c r="C26" i="14"/>
  <c r="F30" i="14"/>
  <c r="F55" i="14"/>
  <c r="F59" i="14"/>
  <c r="F60" i="14" s="1"/>
  <c r="F54" i="14"/>
  <c r="C53" i="14"/>
  <c r="C33" i="14"/>
  <c r="C6" i="16" s="1"/>
  <c r="C32" i="14"/>
  <c r="C54" i="14"/>
  <c r="C13" i="16" s="1"/>
  <c r="E13" i="16" s="1"/>
  <c r="F13" i="16" s="1"/>
  <c r="AD4" i="14" l="1"/>
  <c r="AD9" i="14"/>
  <c r="AD19" i="14"/>
  <c r="AD13" i="14"/>
  <c r="AE8" i="14"/>
  <c r="AE20" i="14"/>
  <c r="AE16" i="14"/>
  <c r="AE11" i="14"/>
  <c r="AE14" i="14"/>
  <c r="AE6" i="14"/>
  <c r="AE21" i="14"/>
  <c r="AE10" i="14"/>
  <c r="AE12" i="14"/>
  <c r="AE15" i="14"/>
  <c r="AE7" i="14"/>
  <c r="AE4" i="14"/>
  <c r="AD15" i="14"/>
  <c r="AD17" i="14"/>
  <c r="AD12" i="14"/>
  <c r="AD6" i="14"/>
  <c r="AD8" i="14"/>
  <c r="AD10" i="14"/>
  <c r="AD21" i="14"/>
  <c r="AD16" i="14"/>
  <c r="AD18" i="14"/>
  <c r="AD7" i="14"/>
  <c r="AE9" i="14"/>
  <c r="AD20" i="14"/>
  <c r="AD14" i="14"/>
  <c r="AE19" i="14"/>
  <c r="AE13" i="14"/>
  <c r="AD3" i="14"/>
  <c r="AD22" i="14"/>
  <c r="AD11" i="14"/>
  <c r="AD5" i="14"/>
  <c r="C7" i="16"/>
  <c r="E7" i="16" s="1"/>
  <c r="F11" i="16" s="1"/>
  <c r="E6" i="16"/>
  <c r="F10" i="16" s="1"/>
  <c r="J31" i="14"/>
  <c r="K37" i="14"/>
  <c r="I37" i="14"/>
  <c r="J37" i="14"/>
  <c r="J32" i="14"/>
  <c r="I31" i="14"/>
  <c r="K31" i="14"/>
  <c r="C38" i="14"/>
  <c r="C8" i="16" s="1"/>
  <c r="C9" i="16" s="1"/>
  <c r="F56" i="14"/>
  <c r="C57" i="14"/>
  <c r="C34" i="14"/>
  <c r="C55" i="14"/>
  <c r="K38" i="14" s="1"/>
  <c r="C12" i="16" l="1"/>
  <c r="I33" i="14"/>
  <c r="I35" i="14" s="1"/>
  <c r="K33" i="14"/>
  <c r="K35" i="14" s="1"/>
  <c r="J38" i="14"/>
  <c r="I38" i="14"/>
  <c r="J33" i="14"/>
  <c r="J35" i="14" s="1"/>
  <c r="J34" i="14"/>
  <c r="J36" i="14" s="1"/>
  <c r="I58" i="14"/>
  <c r="C59" i="14"/>
  <c r="C58" i="14"/>
  <c r="C39" i="14"/>
  <c r="C40" i="14"/>
  <c r="C42" i="14" s="1"/>
  <c r="I57" i="14" l="1"/>
  <c r="I59" i="14" s="1"/>
  <c r="C60" i="14"/>
  <c r="C41" i="14"/>
  <c r="N6" i="14"/>
  <c r="N7" i="14" l="1"/>
  <c r="M7" i="14" s="1"/>
  <c r="M6" i="14"/>
  <c r="I60" i="14"/>
  <c r="I61" i="14"/>
  <c r="I62" i="14" s="1"/>
  <c r="C44" i="14"/>
  <c r="C45" i="14" s="1"/>
  <c r="C43" i="14"/>
  <c r="N8" i="14" l="1"/>
  <c r="N10" i="14" s="1"/>
  <c r="C4" i="16"/>
  <c r="C16" i="16" s="1"/>
  <c r="P4" i="14"/>
  <c r="C14" i="16" l="1"/>
  <c r="C22" i="16" s="1"/>
  <c r="C21" i="16" s="1"/>
  <c r="V4" i="14"/>
  <c r="U4" i="14"/>
  <c r="R4" i="14"/>
  <c r="R8" i="14" s="1"/>
  <c r="P5" i="14"/>
  <c r="O4" i="14"/>
  <c r="E14" i="16" l="1"/>
  <c r="V5" i="14"/>
  <c r="U5" i="14"/>
  <c r="P6" i="14"/>
  <c r="T4" i="14"/>
  <c r="Q4" i="14" s="1"/>
  <c r="O5" i="14"/>
  <c r="S4" i="14"/>
  <c r="Q8" i="14" l="1"/>
  <c r="O6" i="14"/>
  <c r="S5" i="14"/>
  <c r="T5" i="14"/>
  <c r="V6" i="14"/>
  <c r="P7" i="14"/>
  <c r="U6" i="14"/>
  <c r="V7" i="14" l="1"/>
  <c r="P8" i="14"/>
  <c r="U7" i="14"/>
  <c r="S6" i="14"/>
  <c r="O7" i="14"/>
  <c r="T6" i="14"/>
  <c r="V8" i="14" l="1"/>
  <c r="U8" i="14"/>
  <c r="T7" i="14"/>
  <c r="O8" i="14"/>
  <c r="S7" i="14"/>
  <c r="T8" i="14" l="1"/>
  <c r="S8" i="14"/>
</calcChain>
</file>

<file path=xl/comments1.xml><?xml version="1.0" encoding="utf-8"?>
<comments xmlns="http://schemas.openxmlformats.org/spreadsheetml/2006/main">
  <authors>
    <author>Graham.Sortino</author>
    <author>Graham</author>
    <author>asd2323r</author>
  </authors>
  <commentList>
    <comment ref="B8" authorId="0">
      <text>
        <r>
          <rPr>
            <b/>
            <sz val="8"/>
            <color indexed="81"/>
            <rFont val="Tahoma"/>
            <family val="2"/>
          </rPr>
          <t>Graham.Sortino:</t>
        </r>
        <r>
          <rPr>
            <sz val="8"/>
            <color indexed="81"/>
            <rFont val="Tahoma"/>
            <family val="2"/>
          </rPr>
          <t xml:space="preserve">
see page 184 (table 5-5) for a list of specific heats for various propellants.
N.B.  1.24 is typically used for O2/RP-1
Specific Heat Ratio k = Specific Heat at Constat Pressure / Specific Heat at Constant Volume
see equation (3-5a) page 50.</t>
        </r>
      </text>
    </comment>
    <comment ref="E8" authorId="0">
      <text>
        <r>
          <rPr>
            <b/>
            <sz val="8"/>
            <color indexed="81"/>
            <rFont val="Tahoma"/>
            <family val="2"/>
          </rPr>
          <t>Graham.Sortino:</t>
        </r>
        <r>
          <rPr>
            <sz val="8"/>
            <color indexed="81"/>
            <rFont val="Tahoma"/>
            <family val="2"/>
          </rPr>
          <t xml:space="preserve">
Initial Velocity on the Earth's surface is 465 m/sec. I believe this is on the equator though.</t>
        </r>
      </text>
    </comment>
    <comment ref="H8" authorId="0">
      <text>
        <r>
          <rPr>
            <b/>
            <sz val="9"/>
            <color indexed="81"/>
            <rFont val="Tahoma"/>
            <family val="2"/>
          </rPr>
          <t>Graham.Sortino:</t>
        </r>
        <r>
          <rPr>
            <sz val="9"/>
            <color indexed="81"/>
            <rFont val="Tahoma"/>
            <family val="2"/>
          </rPr>
          <t xml:space="preserve">
Huzel sample-calc 4-3 (a) p887 says this is calculated from 1-32a and 1-41 but this looks to be for velocity not temp. So I will not calculate this for now but leave it up for the user to input a value. Also, see Huzel solution 4-1 (a) p70 for some examples of solving for the correction factor.
</t>
        </r>
      </text>
    </comment>
    <comment ref="B9" authorId="0">
      <text>
        <r>
          <rPr>
            <b/>
            <sz val="9"/>
            <color indexed="81"/>
            <rFont val="Tahoma"/>
            <family val="2"/>
          </rPr>
          <t>Graham.Sortino:</t>
        </r>
        <r>
          <rPr>
            <sz val="9"/>
            <color indexed="81"/>
            <rFont val="Tahoma"/>
            <family val="2"/>
          </rPr>
          <t xml:space="preserve">
take from RPA or a suitable resource. See gas constant (R) comments for more details.</t>
        </r>
      </text>
    </comment>
    <comment ref="E9" authorId="0">
      <text>
        <r>
          <rPr>
            <b/>
            <sz val="8"/>
            <color indexed="81"/>
            <rFont val="Tahoma"/>
            <family val="2"/>
          </rPr>
          <t>Graham.Sortino:</t>
        </r>
        <r>
          <rPr>
            <sz val="8"/>
            <color indexed="81"/>
            <rFont val="Tahoma"/>
            <family val="2"/>
          </rPr>
          <t xml:space="preserve">
This parameter along with Force guides the choice of mass flow rate and that selects propellent mass.
This parameter is a guidance value only and is not guaranteed to equal cutoff velocity.</t>
        </r>
      </text>
    </comment>
    <comment ref="H9" authorId="0">
      <text>
        <r>
          <rPr>
            <b/>
            <sz val="9"/>
            <color indexed="81"/>
            <rFont val="Tahoma"/>
            <family val="2"/>
          </rPr>
          <t>Graham.Sortino:</t>
        </r>
        <r>
          <rPr>
            <sz val="9"/>
            <color indexed="81"/>
            <rFont val="Tahoma"/>
            <family val="2"/>
          </rPr>
          <t xml:space="preserve">
see Sample calc 4-3  (a) (Huzel) p87</t>
        </r>
      </text>
    </comment>
    <comment ref="B10" authorId="0">
      <text>
        <r>
          <rPr>
            <b/>
            <sz val="8"/>
            <color indexed="81"/>
            <rFont val="Tahoma"/>
            <family val="2"/>
          </rPr>
          <t>Graham.Sortino:</t>
        </r>
        <r>
          <rPr>
            <sz val="8"/>
            <color indexed="81"/>
            <rFont val="Tahoma"/>
            <family val="2"/>
          </rPr>
          <t xml:space="preserve">
see p50 for info on gas constant. It is calculated as the Universal Gas Constant divided by the molecular mass of the propellant.
Universal Gas Constant = 8,314.3 J/kg mol-K (or 1544 ft-lb/lb mol-</t>
        </r>
        <r>
          <rPr>
            <vertAlign val="superscript"/>
            <sz val="8"/>
            <color indexed="81"/>
            <rFont val="Tahoma"/>
            <family val="2"/>
          </rPr>
          <t>o</t>
        </r>
        <r>
          <rPr>
            <sz val="8"/>
            <color indexed="81"/>
            <rFont val="Tahoma"/>
            <family val="2"/>
          </rPr>
          <t>R)
See p184 (table 5-5) for the molecular mass of common rocket propellants. 
21.9 kg/mol  is the molecular mass of O2/RP-1. So
R = 8,314.3 / 21.9 = 379.6484</t>
        </r>
      </text>
    </comment>
    <comment ref="H10" authorId="0">
      <text>
        <r>
          <rPr>
            <b/>
            <sz val="9"/>
            <color indexed="81"/>
            <rFont val="Tahoma"/>
            <family val="2"/>
          </rPr>
          <t>Graham.Sortino:</t>
        </r>
        <r>
          <rPr>
            <sz val="9"/>
            <color indexed="81"/>
            <rFont val="Tahoma"/>
            <family val="2"/>
          </rPr>
          <t xml:space="preserve">
see Sample calc 4-3  (a) (Huzel) p87</t>
        </r>
      </text>
    </comment>
    <comment ref="B11" authorId="1">
      <text>
        <r>
          <rPr>
            <b/>
            <sz val="8"/>
            <color indexed="81"/>
            <rFont val="Tahoma"/>
            <family val="2"/>
          </rPr>
          <t>Graham:</t>
        </r>
        <r>
          <rPr>
            <sz val="8"/>
            <color indexed="81"/>
            <rFont val="Tahoma"/>
            <family val="2"/>
          </rPr>
          <t xml:space="preserve">
Temperature at the Nozzle inlet. 
See page 184 (table 5-5) for chamber temperatures for various propellents.
N.B. 3571 is typically used for O2/RP1</t>
        </r>
      </text>
    </comment>
    <comment ref="H11" authorId="2">
      <text>
        <r>
          <rPr>
            <b/>
            <sz val="9"/>
            <color indexed="81"/>
            <rFont val="Tahoma"/>
            <family val="2"/>
          </rPr>
          <t>asd2323r:</t>
        </r>
        <r>
          <rPr>
            <sz val="9"/>
            <color indexed="81"/>
            <rFont val="Tahoma"/>
            <family val="2"/>
          </rPr>
          <t xml:space="preserve">
not sure how to calculate this but can be taken from RPA</t>
        </r>
      </text>
    </comment>
    <comment ref="B12" authorId="0">
      <text>
        <r>
          <rPr>
            <b/>
            <sz val="9"/>
            <color indexed="81"/>
            <rFont val="Tahoma"/>
            <family val="2"/>
          </rPr>
          <t>Graham.Sortino:</t>
        </r>
        <r>
          <rPr>
            <sz val="9"/>
            <color indexed="81"/>
            <rFont val="Tahoma"/>
            <family val="2"/>
          </rPr>
          <t xml:space="preserve">
select a p1 that provides maximum velocity within acceptable design limitations. 
In otherwords don't choose an initial pressure so high that the engine is very difficult to build. 
Favorable performance for O2/RP-1 has been seen with p1 between 100 and 3400 psia.</t>
        </r>
      </text>
    </comment>
    <comment ref="E12" authorId="0">
      <text>
        <r>
          <rPr>
            <b/>
            <sz val="8"/>
            <color indexed="81"/>
            <rFont val="Tahoma"/>
            <family val="2"/>
          </rPr>
          <t>Graham.Sortino:</t>
        </r>
        <r>
          <rPr>
            <sz val="8"/>
            <color indexed="81"/>
            <rFont val="Tahoma"/>
            <family val="2"/>
          </rPr>
          <t xml:space="preserve">
This value represents the maximum allowable force. It is a mission parameter and depends chiefly on whether the flight is manned or un-manned.
F</t>
        </r>
        <r>
          <rPr>
            <vertAlign val="subscript"/>
            <sz val="8"/>
            <color indexed="81"/>
            <rFont val="Tahoma"/>
            <family val="2"/>
          </rPr>
          <t>max</t>
        </r>
        <r>
          <rPr>
            <sz val="8"/>
            <color indexed="81"/>
            <rFont val="Tahoma"/>
            <family val="2"/>
          </rPr>
          <t xml:space="preserve"> = mf*a</t>
        </r>
      </text>
    </comment>
    <comment ref="H12" authorId="0">
      <text>
        <r>
          <rPr>
            <b/>
            <sz val="9"/>
            <color indexed="81"/>
            <rFont val="Tahoma"/>
            <family val="2"/>
          </rPr>
          <t>Graham.Sortino:</t>
        </r>
        <r>
          <rPr>
            <sz val="9"/>
            <color indexed="81"/>
            <rFont val="Tahoma"/>
            <family val="2"/>
          </rPr>
          <t xml:space="preserve">
see huzel equation 4-15 (p86)
Note - a better estimation can be found by using the method from http://en.wikipedia.org/wiki/Prandtl_number.
Or simply take from RPA</t>
        </r>
      </text>
    </comment>
    <comment ref="E13" authorId="0">
      <text>
        <r>
          <rPr>
            <b/>
            <sz val="8"/>
            <color indexed="81"/>
            <rFont val="Tahoma"/>
            <family val="2"/>
          </rPr>
          <t>Graham.Sortino:</t>
        </r>
        <r>
          <rPr>
            <sz val="8"/>
            <color indexed="81"/>
            <rFont val="Tahoma"/>
            <family val="2"/>
          </rPr>
          <t xml:space="preserve">
This value represents the maximum allowable force. It is a mission parameter and depends chiefly on whether the flight is manned or un-manned.
F</t>
        </r>
        <r>
          <rPr>
            <vertAlign val="subscript"/>
            <sz val="8"/>
            <color indexed="81"/>
            <rFont val="Tahoma"/>
            <family val="2"/>
          </rPr>
          <t>max</t>
        </r>
        <r>
          <rPr>
            <sz val="8"/>
            <color indexed="81"/>
            <rFont val="Tahoma"/>
            <family val="2"/>
          </rPr>
          <t xml:space="preserve"> = mf*a</t>
        </r>
      </text>
    </comment>
    <comment ref="H13" authorId="0">
      <text>
        <r>
          <rPr>
            <b/>
            <sz val="9"/>
            <color indexed="81"/>
            <rFont val="Tahoma"/>
            <family val="2"/>
          </rPr>
          <t>Graham.Sortino:</t>
        </r>
        <r>
          <rPr>
            <sz val="9"/>
            <color indexed="81"/>
            <rFont val="Tahoma"/>
            <family val="2"/>
          </rPr>
          <t xml:space="preserve">
This is a desired temperature based on the properties of the wall material + an allowable tolerence.
Some references:
Aluminum 6061: http://asm.matweb.com/search/SpecificMaterial.asp?bassnum=MA6061t6</t>
        </r>
      </text>
    </comment>
    <comment ref="B14" authorId="0">
      <text>
        <r>
          <rPr>
            <b/>
            <sz val="9"/>
            <color indexed="81"/>
            <rFont val="Tahoma"/>
            <family val="2"/>
          </rPr>
          <t>Graham.Sortino:</t>
        </r>
        <r>
          <rPr>
            <sz val="9"/>
            <color indexed="81"/>
            <rFont val="Tahoma"/>
            <family val="2"/>
          </rPr>
          <t xml:space="preserve">
p2 can easily be selected based upon the mission of the rocket. Optimum expansion is when p2 = p3. So select a value based on this condition see "Properties of Atmosphere" tab for pressures at various altitudes.</t>
        </r>
      </text>
    </comment>
    <comment ref="H14" authorId="0">
      <text>
        <r>
          <rPr>
            <b/>
            <sz val="9"/>
            <color indexed="81"/>
            <rFont val="Tahoma"/>
            <family val="2"/>
          </rPr>
          <t>Graham.Sortino:</t>
        </r>
        <r>
          <rPr>
            <sz val="9"/>
            <color indexed="81"/>
            <rFont val="Tahoma"/>
            <family val="2"/>
          </rPr>
          <t xml:space="preserve">
This is a desired temperature based on the properties of the wall material + an allowable tolerence.
Some references:
Aluminum 6061: http://asm.matweb.com/search/SpecificMaterial.asp?bassnum=MA6061t6</t>
        </r>
      </text>
    </comment>
    <comment ref="E15" authorId="0">
      <text>
        <r>
          <rPr>
            <b/>
            <sz val="8"/>
            <color indexed="81"/>
            <rFont val="Tahoma"/>
            <family val="2"/>
          </rPr>
          <t>Graham.Sortino:</t>
        </r>
        <r>
          <rPr>
            <sz val="8"/>
            <color indexed="81"/>
            <rFont val="Tahoma"/>
            <family val="2"/>
          </rPr>
          <t xml:space="preserve">
Solving for mp given mf. See equation 4-8 for an example.
An alternative is to use  a reballancing of equation 4-7 where we solve for mp. See p331 for an example.</t>
        </r>
      </text>
    </comment>
    <comment ref="H15" authorId="0">
      <text>
        <r>
          <rPr>
            <b/>
            <sz val="9"/>
            <color indexed="81"/>
            <rFont val="Tahoma"/>
            <family val="2"/>
          </rPr>
          <t>Graham.Sortino:</t>
        </r>
        <r>
          <rPr>
            <sz val="9"/>
            <color indexed="81"/>
            <rFont val="Tahoma"/>
            <family val="2"/>
          </rPr>
          <t xml:space="preserve">
Estimated from .9 to .98 (see p85) of Huzel
typically .923 is used as an estimated value.</t>
        </r>
      </text>
    </comment>
    <comment ref="I15" authorId="2">
      <text>
        <r>
          <rPr>
            <b/>
            <sz val="9"/>
            <color indexed="81"/>
            <rFont val="Tahoma"/>
            <family val="2"/>
          </rPr>
          <t>asd2323r:</t>
        </r>
        <r>
          <rPr>
            <sz val="9"/>
            <color indexed="81"/>
            <rFont val="Tahoma"/>
            <family val="2"/>
          </rPr>
          <t xml:space="preserve">
this is not currently used as its been replaced by the calculated stagnation recovery factor. See calcuation of Adiabatic Wall Temp (Taw) for details.</t>
        </r>
      </text>
    </comment>
    <comment ref="B16" authorId="0">
      <text>
        <r>
          <rPr>
            <b/>
            <sz val="9"/>
            <color indexed="81"/>
            <rFont val="Tahoma"/>
            <family val="2"/>
          </rPr>
          <t>Graham.Sortino:</t>
        </r>
        <r>
          <rPr>
            <sz val="9"/>
            <color indexed="81"/>
            <rFont val="Tahoma"/>
            <family val="2"/>
          </rPr>
          <t xml:space="preserve">
Typically this will be optimum expansion where p2 = p3.</t>
        </r>
      </text>
    </comment>
    <comment ref="E16" authorId="0">
      <text>
        <r>
          <rPr>
            <b/>
            <sz val="8"/>
            <color indexed="81"/>
            <rFont val="Tahoma"/>
            <family val="2"/>
          </rPr>
          <t>Graham.Sortino:</t>
        </r>
        <r>
          <rPr>
            <sz val="8"/>
            <color indexed="81"/>
            <rFont val="Tahoma"/>
            <family val="2"/>
          </rPr>
          <t xml:space="preserve">
inert hardware includes: tanks, gas, generator, turbopumps, etc…
Typical value is 7% of propellent mass</t>
        </r>
      </text>
    </comment>
    <comment ref="H16" authorId="2">
      <text>
        <r>
          <rPr>
            <b/>
            <sz val="9"/>
            <color indexed="81"/>
            <rFont val="Tahoma"/>
            <family val="2"/>
          </rPr>
          <t>asd2323r:</t>
        </r>
        <r>
          <rPr>
            <sz val="9"/>
            <color indexed="81"/>
            <rFont val="Tahoma"/>
            <family val="2"/>
          </rPr>
          <t xml:space="preserve">
see sample calculation 4-3 (a) from Huzel and Huang (top of p87) for details</t>
        </r>
      </text>
    </comment>
    <comment ref="H17" authorId="0">
      <text>
        <r>
          <rPr>
            <b/>
            <sz val="9"/>
            <color indexed="81"/>
            <rFont val="Tahoma"/>
            <family val="2"/>
          </rPr>
          <t>Graham.Sortino:</t>
        </r>
        <r>
          <rPr>
            <sz val="9"/>
            <color indexed="81"/>
            <rFont val="Tahoma"/>
            <family val="2"/>
          </rPr>
          <t xml:space="preserve">
according to the following linke the conversion factor is: 0.0002388458966275. We also multiply the metric value by 1000 to go from kj to joule.
http://metricsystemconversion.info/British-thermal-unitIT-per-pound-degree-Rankine-BtuIT-lb-%B7-%BAR-to-joule-per-kilogram-kelvin-J-kg-%B7-K.html?func=detail</t>
        </r>
      </text>
    </comment>
    <comment ref="H18" authorId="2">
      <text>
        <r>
          <rPr>
            <b/>
            <sz val="9"/>
            <color indexed="81"/>
            <rFont val="Tahoma"/>
            <family val="2"/>
          </rPr>
          <t>asd2323r:</t>
        </r>
        <r>
          <rPr>
            <sz val="9"/>
            <color indexed="81"/>
            <rFont val="Tahoma"/>
            <family val="2"/>
          </rPr>
          <t xml:space="preserve">
This can be taken from 4-16 in huzel and huang. However, its also available in RPA so I'm taking it from there instead.</t>
        </r>
      </text>
    </comment>
    <comment ref="E19" authorId="0">
      <text>
        <r>
          <rPr>
            <b/>
            <sz val="8"/>
            <color indexed="81"/>
            <rFont val="Tahoma"/>
            <family val="2"/>
          </rPr>
          <t>Graham.Sortino:</t>
        </r>
        <r>
          <rPr>
            <sz val="8"/>
            <color indexed="81"/>
            <rFont val="Tahoma"/>
            <family val="2"/>
          </rPr>
          <t xml:space="preserve">
Final Mass / Initial Mass</t>
        </r>
      </text>
    </comment>
    <comment ref="H19" authorId="0">
      <text>
        <r>
          <rPr>
            <b/>
            <sz val="9"/>
            <color indexed="81"/>
            <rFont val="Tahoma"/>
            <family val="2"/>
          </rPr>
          <t>Graham.Sortino:</t>
        </r>
        <r>
          <rPr>
            <sz val="9"/>
            <color indexed="81"/>
            <rFont val="Tahoma"/>
            <family val="2"/>
          </rPr>
          <t xml:space="preserve">
See equation 4-16 Huzel (p86). If actual data is available then it can be substituted in.</t>
        </r>
      </text>
    </comment>
    <comment ref="B20" authorId="0">
      <text>
        <r>
          <rPr>
            <b/>
            <sz val="8"/>
            <color indexed="81"/>
            <rFont val="Tahoma"/>
            <family val="2"/>
          </rPr>
          <t>Graham.Sortino:</t>
        </r>
        <r>
          <rPr>
            <sz val="8"/>
            <color indexed="81"/>
            <rFont val="Tahoma"/>
            <family val="2"/>
          </rPr>
          <t xml:space="preserve">
calculated from 3-20</t>
        </r>
      </text>
    </comment>
    <comment ref="E20" authorId="0">
      <text>
        <r>
          <rPr>
            <b/>
            <sz val="8"/>
            <color indexed="81"/>
            <rFont val="Tahoma"/>
            <family val="2"/>
          </rPr>
          <t>Graham.Sortino:</t>
        </r>
        <r>
          <rPr>
            <sz val="8"/>
            <color indexed="81"/>
            <rFont val="Tahoma"/>
            <family val="2"/>
          </rPr>
          <t xml:space="preserve">
Initial Mass / Final Mass
See figure 4-2 for charted values in a gravity free environment</t>
        </r>
      </text>
    </comment>
    <comment ref="H20" authorId="0">
      <text>
        <r>
          <rPr>
            <b/>
            <sz val="9"/>
            <color indexed="81"/>
            <rFont val="Tahoma"/>
            <family val="2"/>
          </rPr>
          <t>Graham.Sortino:</t>
        </r>
        <r>
          <rPr>
            <sz val="9"/>
            <color indexed="81"/>
            <rFont val="Tahoma"/>
            <family val="2"/>
          </rPr>
          <t xml:space="preserve">
I'm still not sure exactly what this is but I think it assumes some sort of hypothetical scenario where the wall temp aproaches it's limit.
It seems that this has a strong correlation with sigma and thus it affects the gas side heat coefficient. A value closer to 1 decreases the heat coefficient.
See fig 4-28 page 86 of Huzel and sample calc 4-3 (a) p87 for more information on this value.</t>
        </r>
      </text>
    </comment>
    <comment ref="B21" authorId="0">
      <text>
        <r>
          <rPr>
            <b/>
            <sz val="8"/>
            <color indexed="81"/>
            <rFont val="Tahoma"/>
            <family val="2"/>
          </rPr>
          <t>Graham.Sortino:</t>
        </r>
        <r>
          <rPr>
            <sz val="8"/>
            <color indexed="81"/>
            <rFont val="Tahoma"/>
            <family val="2"/>
          </rPr>
          <t xml:space="preserve">
calculated from 3-20</t>
        </r>
      </text>
    </comment>
    <comment ref="E21" authorId="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1" authorId="0">
      <text>
        <r>
          <rPr>
            <b/>
            <sz val="9"/>
            <color indexed="81"/>
            <rFont val="Tahoma"/>
            <family val="2"/>
          </rPr>
          <t>Graham.Sortino:</t>
        </r>
        <r>
          <rPr>
            <sz val="9"/>
            <color indexed="81"/>
            <rFont val="Tahoma"/>
            <family val="2"/>
          </rPr>
          <t xml:space="preserve">
look this up in material data sheets. Thermal conductivity is dependent on temperature so keep that in mind when researching this value.</t>
        </r>
      </text>
    </comment>
    <comment ref="B22" authorId="1">
      <text>
        <r>
          <rPr>
            <b/>
            <sz val="8"/>
            <color indexed="81"/>
            <rFont val="Tahoma"/>
            <family val="2"/>
          </rPr>
          <t>Graham:</t>
        </r>
        <r>
          <rPr>
            <sz val="8"/>
            <color indexed="81"/>
            <rFont val="Tahoma"/>
            <family val="2"/>
          </rPr>
          <t xml:space="preserve">
Used to calculate the effective percentage loss in Ideal Velocity due to drag forces. Typical Values are between 5 and 10%. 
See bottom of page 108 for more details.</t>
        </r>
      </text>
    </comment>
    <comment ref="H22" authorId="0">
      <text>
        <r>
          <rPr>
            <b/>
            <sz val="9"/>
            <color indexed="81"/>
            <rFont val="Tahoma"/>
            <family val="2"/>
          </rPr>
          <t>Graham.Sortino:</t>
        </r>
        <r>
          <rPr>
            <sz val="9"/>
            <color indexed="81"/>
            <rFont val="Tahoma"/>
            <family val="2"/>
          </rPr>
          <t xml:space="preserve">
look this up in material data sheets. Thermal conductivity is dependent on temperature so keep that in mind when researching this value.</t>
        </r>
      </text>
    </comment>
    <comment ref="I22" authorId="2">
      <text>
        <r>
          <rPr>
            <b/>
            <sz val="9"/>
            <color indexed="81"/>
            <rFont val="Tahoma"/>
            <family val="2"/>
          </rPr>
          <t>asd2323r:</t>
        </r>
        <r>
          <rPr>
            <sz val="9"/>
            <color indexed="81"/>
            <rFont val="Tahoma"/>
            <family val="2"/>
          </rPr>
          <t xml:space="preserve">
this conversion is mashed up from taking the 1 W/m/k = 0.001925964 BTU (IT) in/sec/ft^2/oF found here: http://www.unitconversion.org/unit_converter/thermal-conductivity.html and dividing by 144 to convert from square feet to square inches.</t>
        </r>
      </text>
    </comment>
    <comment ref="B23" authorId="0">
      <text>
        <r>
          <rPr>
            <b/>
            <sz val="8"/>
            <color indexed="81"/>
            <rFont val="Tahoma"/>
            <family val="2"/>
          </rPr>
          <t>Graham.Sortino:</t>
        </r>
        <r>
          <rPr>
            <sz val="8"/>
            <color indexed="81"/>
            <rFont val="Tahoma"/>
            <family val="2"/>
          </rPr>
          <t xml:space="preserve">
calculated from 3-16</t>
        </r>
      </text>
    </comment>
    <comment ref="B24" authorId="0">
      <text>
        <r>
          <rPr>
            <b/>
            <sz val="9"/>
            <color indexed="81"/>
            <rFont val="Tahoma"/>
            <family val="2"/>
          </rPr>
          <t>Graham.Sortino:</t>
        </r>
        <r>
          <rPr>
            <sz val="9"/>
            <color indexed="81"/>
            <rFont val="Tahoma"/>
            <family val="2"/>
          </rPr>
          <t xml:space="preserve">
Determined from 3-32 (Sutton) p68. Actual Equation (left most equation)</t>
        </r>
      </text>
    </comment>
    <comment ref="B25" authorId="0">
      <text>
        <r>
          <rPr>
            <b/>
            <sz val="9"/>
            <color indexed="81"/>
            <rFont val="Tahoma"/>
            <family val="2"/>
          </rPr>
          <t>Graham.Sortino:</t>
        </r>
        <r>
          <rPr>
            <sz val="9"/>
            <color indexed="81"/>
            <rFont val="Tahoma"/>
            <family val="2"/>
          </rPr>
          <t xml:space="preserve">
Determined from 3-32 (Sutton) p68. Actual Equation (right most equation).</t>
        </r>
      </text>
    </comment>
    <comment ref="E25" authorId="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5" authorId="0">
      <text>
        <r>
          <rPr>
            <b/>
            <sz val="9"/>
            <color indexed="81"/>
            <rFont val="Tahoma"/>
            <family val="2"/>
          </rPr>
          <t>Graham.Sortino:</t>
        </r>
        <r>
          <rPr>
            <sz val="9"/>
            <color indexed="81"/>
            <rFont val="Tahoma"/>
            <family val="2"/>
          </rPr>
          <t xml:space="preserve">
calculatedv via 3-11 (Sutton) p51. Throat will always be 1 and I'm not sure how to calculate chamber because I don't know how to obtain chamber velocity.</t>
        </r>
      </text>
    </comment>
    <comment ref="I25" authorId="0">
      <text>
        <r>
          <rPr>
            <b/>
            <sz val="9"/>
            <color indexed="81"/>
            <rFont val="Tahoma"/>
            <family val="2"/>
          </rPr>
          <t>Graham.Sortino:</t>
        </r>
        <r>
          <rPr>
            <sz val="9"/>
            <color indexed="81"/>
            <rFont val="Tahoma"/>
            <family val="2"/>
          </rPr>
          <t xml:space="preserve">
guess for now?</t>
        </r>
      </text>
    </comment>
    <comment ref="E26" authorId="0">
      <text>
        <r>
          <rPr>
            <b/>
            <sz val="8"/>
            <color indexed="81"/>
            <rFont val="Tahoma"/>
            <family val="2"/>
          </rPr>
          <t>Graham.Sortino:</t>
        </r>
        <r>
          <rPr>
            <sz val="8"/>
            <color indexed="81"/>
            <rFont val="Tahoma"/>
            <family val="2"/>
          </rPr>
          <t xml:space="preserve">
&lt;--- Represents the amount of propellent used per second
Mass flow rate may be very simply calculated by taking the usable propellant mass and dividing it by the burn time. This of course assumes equal burn.</t>
        </r>
      </text>
    </comment>
    <comment ref="H26" authorId="0">
      <text>
        <r>
          <rPr>
            <b/>
            <sz val="9"/>
            <color indexed="81"/>
            <rFont val="Tahoma"/>
            <family val="2"/>
          </rPr>
          <t>Graham.Sortino:</t>
        </r>
        <r>
          <rPr>
            <sz val="9"/>
            <color indexed="81"/>
            <rFont val="Tahoma"/>
            <family val="2"/>
          </rPr>
          <t xml:space="preserve">
Calculated from 4-14 Huzel p86</t>
        </r>
      </text>
    </comment>
    <comment ref="E27" authorId="0">
      <text>
        <r>
          <rPr>
            <b/>
            <sz val="9"/>
            <color indexed="81"/>
            <rFont val="Tahoma"/>
            <family val="2"/>
          </rPr>
          <t>Graham.Sortino:</t>
        </r>
        <r>
          <rPr>
            <sz val="9"/>
            <color indexed="81"/>
            <rFont val="Tahoma"/>
            <family val="2"/>
          </rPr>
          <t xml:space="preserve">
This field is special. Either enter the known value (typlically for liquids) or paste in the below equation:
pressure/(compressability-factor*(gas-constant/molecular-mass)*temp)
=(F38*6894.75729)/(F36*((8314.4621)/F43)*F45)
to calculate values: http://yeroc.us/calculators/gas-density.php</t>
        </r>
      </text>
    </comment>
    <comment ref="H27" authorId="0">
      <text>
        <r>
          <rPr>
            <b/>
            <sz val="9"/>
            <color indexed="81"/>
            <rFont val="Tahoma"/>
            <family val="2"/>
          </rPr>
          <t>Graham.Sortino:</t>
        </r>
        <r>
          <rPr>
            <sz val="9"/>
            <color indexed="81"/>
            <rFont val="Tahoma"/>
            <family val="2"/>
          </rPr>
          <t xml:space="preserve">
solved via 4-13 Huzel  p86. Does not include a correction factor for thermal deposits</t>
        </r>
      </text>
    </comment>
    <comment ref="E28" authorId="0">
      <text>
        <r>
          <rPr>
            <b/>
            <sz val="9"/>
            <color indexed="81"/>
            <rFont val="Tahoma"/>
            <family val="2"/>
          </rPr>
          <t>Graham.Sortino:</t>
        </r>
        <r>
          <rPr>
            <sz val="9"/>
            <color indexed="81"/>
            <rFont val="Tahoma"/>
            <family val="2"/>
          </rPr>
          <t xml:space="preserve">
This field is special. Either enter the known value (typlically for liquids) or paste in the below equation:
pressure/(compressability-factor*(gas-constant/molecular-mass)*temp)
=(F38*6894.75729)/(F36*((8314.4621)/F43)*F45)
to calculate values: http://yeroc.us/calculators/gas-density.php</t>
        </r>
      </text>
    </comment>
    <comment ref="H28" authorId="2">
      <text>
        <r>
          <rPr>
            <b/>
            <sz val="9"/>
            <color indexed="81"/>
            <rFont val="Tahoma"/>
            <family val="2"/>
          </rPr>
          <t>asd2323r:</t>
        </r>
        <r>
          <rPr>
            <sz val="9"/>
            <color indexed="81"/>
            <rFont val="Tahoma"/>
            <family val="2"/>
          </rPr>
          <t xml:space="preserve">
for some reason in the metric equicalent of this function the gravity constant is removed according to; http://www.propulsion-analysis.com/downloads/2/docs/RPA_ThermalAnalysis.pdf Bartz Method (p7)</t>
        </r>
      </text>
    </comment>
    <comment ref="L28" authorId="2">
      <text>
        <r>
          <rPr>
            <b/>
            <sz val="9"/>
            <color indexed="81"/>
            <rFont val="Tahoma"/>
            <family val="2"/>
          </rPr>
          <t>asd2323r:</t>
        </r>
        <r>
          <rPr>
            <sz val="9"/>
            <color indexed="81"/>
            <rFont val="Tahoma"/>
            <family val="2"/>
          </rPr>
          <t xml:space="preserve">
The converstion seems to be: *144*60*60*3.1525/1000 and the conversion between Btu/ft^2 h to W/m^2 = 3.1525</t>
        </r>
      </text>
    </comment>
    <comment ref="B29" authorId="0">
      <text>
        <r>
          <rPr>
            <b/>
            <sz val="9"/>
            <color indexed="81"/>
            <rFont val="Tahoma"/>
            <family val="2"/>
          </rPr>
          <t>Graham.Sortino:</t>
        </r>
        <r>
          <rPr>
            <sz val="9"/>
            <color indexed="81"/>
            <rFont val="Tahoma"/>
            <family val="2"/>
          </rPr>
          <t xml:space="preserve">
From Equation 3-30</t>
        </r>
      </text>
    </comment>
    <comment ref="H29" authorId="0">
      <text>
        <r>
          <rPr>
            <b/>
            <sz val="9"/>
            <color indexed="81"/>
            <rFont val="Tahoma"/>
            <family val="2"/>
          </rPr>
          <t>Graham.Sortino:</t>
        </r>
        <r>
          <rPr>
            <sz val="9"/>
            <color indexed="81"/>
            <rFont val="Tahoma"/>
            <family val="2"/>
          </rPr>
          <t xml:space="preserve">
Throat value Calculated from Formula 4-10-a (Huzel) p85.
Chamber and Exit Values taken from © Robert Watzlavick (rocket@watzlavick.com) Rocket Design Spreadsheet.
</t>
        </r>
      </text>
    </comment>
    <comment ref="B30" authorId="1">
      <text>
        <r>
          <rPr>
            <b/>
            <sz val="8"/>
            <color indexed="81"/>
            <rFont val="Tahoma"/>
            <family val="2"/>
          </rPr>
          <t>Graham:</t>
        </r>
        <r>
          <rPr>
            <sz val="8"/>
            <color indexed="81"/>
            <rFont val="Tahoma"/>
            <family val="2"/>
          </rPr>
          <t xml:space="preserve">
see table 3-2 (p75). This should be 4 to prevent losses.
Additional info in formula 8-8 (p286)</t>
        </r>
      </text>
    </comment>
    <comment ref="H30" authorId="0">
      <text>
        <r>
          <rPr>
            <b/>
            <sz val="9"/>
            <color indexed="81"/>
            <rFont val="Tahoma"/>
            <family val="2"/>
          </rPr>
          <t>Graham.Sortino:</t>
        </r>
        <r>
          <rPr>
            <sz val="9"/>
            <color indexed="81"/>
            <rFont val="Tahoma"/>
            <family val="2"/>
          </rPr>
          <t xml:space="preserve">
Throat value Calculated from Formula 4-10-a (Huzel) p85.
Chamber and Exit Values taken from © Robert Watzlavick (rocket@watzlavick.com) Rocket Design Spreadsheet.
</t>
        </r>
      </text>
    </comment>
    <comment ref="B31" authorId="0">
      <text>
        <r>
          <rPr>
            <b/>
            <sz val="8"/>
            <color indexed="81"/>
            <rFont val="Tahoma"/>
            <family val="2"/>
          </rPr>
          <t>Graham.Sortino:</t>
        </r>
        <r>
          <rPr>
            <sz val="8"/>
            <color indexed="81"/>
            <rFont val="Tahoma"/>
            <family val="2"/>
          </rPr>
          <t xml:space="preserve">
Calculated from Chamber Contraction Ration and Throat Area</t>
        </r>
      </text>
    </comment>
    <comment ref="H31" authorId="0">
      <text>
        <r>
          <rPr>
            <b/>
            <sz val="9"/>
            <color indexed="81"/>
            <rFont val="Tahoma"/>
            <family val="2"/>
          </rPr>
          <t>Graham.Sortino:</t>
        </r>
        <r>
          <rPr>
            <sz val="9"/>
            <color indexed="81"/>
            <rFont val="Tahoma"/>
            <family val="2"/>
          </rPr>
          <t xml:space="preserve">
equation 4-10 (Huzel) p85
</t>
        </r>
      </text>
    </comment>
    <comment ref="L32" authorId="2">
      <text>
        <r>
          <rPr>
            <b/>
            <sz val="9"/>
            <color indexed="81"/>
            <rFont val="Tahoma"/>
            <family val="2"/>
          </rPr>
          <t>asd2323r:</t>
        </r>
        <r>
          <rPr>
            <sz val="9"/>
            <color indexed="81"/>
            <rFont val="Tahoma"/>
            <family val="2"/>
          </rPr>
          <t xml:space="preserve">
I am very much un-clear on this conversion factor so be careful when using these SI values.</t>
        </r>
      </text>
    </comment>
    <comment ref="E33" authorId="0">
      <text>
        <r>
          <rPr>
            <b/>
            <sz val="8"/>
            <color indexed="81"/>
            <rFont val="Tahoma"/>
            <family val="2"/>
          </rPr>
          <t>Graham.Sortino:</t>
        </r>
        <r>
          <rPr>
            <sz val="8"/>
            <color indexed="81"/>
            <rFont val="Tahoma"/>
            <family val="2"/>
          </rPr>
          <t xml:space="preserve">
**ONLY FILL THIS OUT IF FUEL IS GASEOUS. OTHERWISE LEAVE BLANK** 
see page 184 (table 5-5) for a list of specific heats for various propellants.
N.B.  1.24 is typically used for O2/RP-1
Specific Heat Ratio k = Specific Heat at Constat Pressure / Specific Heat at Constant Volume
see equation (3-5a) page 50.</t>
        </r>
      </text>
    </comment>
    <comment ref="H33" authorId="0">
      <text>
        <r>
          <rPr>
            <b/>
            <sz val="9"/>
            <color indexed="81"/>
            <rFont val="Tahoma"/>
            <family val="2"/>
          </rPr>
          <t>Graham.Sortino:</t>
        </r>
        <r>
          <rPr>
            <sz val="9"/>
            <color indexed="81"/>
            <rFont val="Tahoma"/>
            <family val="2"/>
          </rPr>
          <t xml:space="preserve">
Reballancing right side of 4-19 (Huzel) p89 to solve for Twc</t>
        </r>
      </text>
    </comment>
    <comment ref="E34" authorId="0">
      <text>
        <r>
          <rPr>
            <b/>
            <sz val="8"/>
            <color indexed="81"/>
            <rFont val="Tahoma"/>
            <family val="2"/>
          </rPr>
          <t>Graham.Sortino:</t>
        </r>
        <r>
          <rPr>
            <sz val="8"/>
            <color indexed="81"/>
            <rFont val="Tahoma"/>
            <family val="2"/>
          </rPr>
          <t xml:space="preserve">
**ONLY FILL THIS OUT IF OXIDIZER IS GASEOUS. OTHERWISE LEAVE BLANK** 
see page 184 (table 5-5) for a list of specific heats for various propellants.
N.B.  1.24 is typically used for O2/RP-1
Specific Heat Ratio k = Specific Heat at Constat Pressure / Specific Heat at Constant Volume
see equation (3-5a) page 50.</t>
        </r>
      </text>
    </comment>
    <comment ref="B35" authorId="0">
      <text>
        <r>
          <rPr>
            <b/>
            <sz val="9"/>
            <color indexed="81"/>
            <rFont val="Tahoma"/>
            <family val="2"/>
          </rPr>
          <t>Graham.Sortino:</t>
        </r>
        <r>
          <rPr>
            <sz val="9"/>
            <color indexed="81"/>
            <rFont val="Tahoma"/>
            <family val="2"/>
          </rPr>
          <t xml:space="preserve">
this value is user defined (for now at least). It's not terribly important but it should be long enough to ensure full mixing of propellants. A longer chamber spreads heat more evenly across walls but also adds to weight.
See section 8.2 for more details (p285)</t>
        </r>
      </text>
    </comment>
    <comment ref="E35" authorId="0">
      <text>
        <r>
          <rPr>
            <b/>
            <sz val="9"/>
            <color indexed="81"/>
            <rFont val="Tahoma"/>
            <family val="2"/>
          </rPr>
          <t>Graham.Sortino:</t>
        </r>
        <r>
          <rPr>
            <sz val="9"/>
            <color indexed="81"/>
            <rFont val="Tahoma"/>
            <family val="2"/>
          </rPr>
          <t xml:space="preserve">
*ONLY FILL THIS OUT IF FUEL IS GASSEOUS. OTHERWISE LEAVE BLANK*
The compressibility factor (Z), also known as the compression factor, is a useful thermodynamic property for modifying the ideal gas law to account for the real gas behavior.
For empirical values for air see: http://en.wikipedia.org/wiki/Compressibility_factor#Compressibility_of_air
For a complex calculator see: http://www.ceb.cam.ac.uk/thermo/pure.html</t>
        </r>
      </text>
    </comment>
    <comment ref="E36" authorId="0">
      <text>
        <r>
          <rPr>
            <b/>
            <sz val="9"/>
            <color indexed="81"/>
            <rFont val="Tahoma"/>
            <family val="2"/>
          </rPr>
          <t>Graham.Sortino:</t>
        </r>
        <r>
          <rPr>
            <sz val="9"/>
            <color indexed="81"/>
            <rFont val="Tahoma"/>
            <family val="2"/>
          </rPr>
          <t xml:space="preserve">
*ONLY FILL THIS OUT IF OXIDIZER IS GASSEOUS. OTHERWISE LEAVE BLANK*
The compressibility factor (Z), also known as the compression factor, is a useful thermodynamic property for modifying the ideal gas law to account for the real gas behavior.
For empirical values for air see: http://en.wikipedia.org/wiki/Compressibility_factor#Compressibility_of_air
For a complex calculator see: http://www.ceb.cam.ac.uk/thermo/pure.html</t>
        </r>
      </text>
    </comment>
    <comment ref="B37" authorId="1">
      <text>
        <r>
          <rPr>
            <b/>
            <sz val="8"/>
            <color indexed="81"/>
            <rFont val="Tahoma"/>
            <family val="2"/>
          </rPr>
          <t>Graham:</t>
        </r>
        <r>
          <rPr>
            <sz val="8"/>
            <color indexed="81"/>
            <rFont val="Tahoma"/>
            <family val="2"/>
          </rPr>
          <t xml:space="preserve">
simmilar to the diverging angle this is used to calculate the conical fostrum length of the divergent section. I haven't found much data indicating this is an important parameter so I've left it the same as the divergent angle.
See top of p286 for a further discussion</t>
        </r>
      </text>
    </comment>
    <comment ref="H37" authorId="2">
      <text>
        <r>
          <rPr>
            <b/>
            <sz val="9"/>
            <color indexed="81"/>
            <rFont val="Tahoma"/>
            <family val="2"/>
          </rPr>
          <t>asd2323r:</t>
        </r>
        <r>
          <rPr>
            <sz val="9"/>
            <color indexed="81"/>
            <rFont val="Tahoma"/>
            <family val="2"/>
          </rPr>
          <t xml:space="preserve">
Matt aproximation taken from © Robert Watzlavick (rocket@watzlavick.com) computation spreadsheet.</t>
        </r>
      </text>
    </comment>
    <comment ref="B38" authorId="0">
      <text>
        <r>
          <rPr>
            <b/>
            <sz val="9"/>
            <color indexed="81"/>
            <rFont val="Tahoma"/>
            <family val="2"/>
          </rPr>
          <t>Graham.Sortino:</t>
        </r>
        <r>
          <rPr>
            <sz val="9"/>
            <color indexed="81"/>
            <rFont val="Tahoma"/>
            <family val="2"/>
          </rPr>
          <t xml:space="preserve">
equation 8-8 p286
</t>
        </r>
      </text>
    </comment>
    <comment ref="H39" authorId="0">
      <text>
        <r>
          <rPr>
            <b/>
            <sz val="9"/>
            <color indexed="81"/>
            <rFont val="Tahoma"/>
            <family val="2"/>
          </rPr>
          <t>Graham.Sortino:</t>
        </r>
        <r>
          <rPr>
            <sz val="9"/>
            <color indexed="81"/>
            <rFont val="Tahoma"/>
            <family val="2"/>
          </rPr>
          <t xml:space="preserve">
taken from sample calc 4-4 (b) Huzel p94. I still don't fully understand how this calculation derives it's result so I may need to play with it a bit more. Especially where does that .8 come from???
Obviously this number will need to be rounded to a whole number and it will depend significantly on the manufacturing process.</t>
        </r>
      </text>
    </comment>
    <comment ref="B40" authorId="0">
      <text>
        <r>
          <rPr>
            <b/>
            <sz val="9"/>
            <color indexed="81"/>
            <rFont val="Tahoma"/>
            <family val="2"/>
          </rPr>
          <t>Graham.Sortino:</t>
        </r>
        <r>
          <rPr>
            <sz val="9"/>
            <color indexed="81"/>
            <rFont val="Tahoma"/>
            <family val="2"/>
          </rPr>
          <t xml:space="preserve">
calculated from nozzle length and convergence half angle using basic trig: cos(alpha) = Adj / Hyp</t>
        </r>
      </text>
    </comment>
    <comment ref="H40" authorId="0">
      <text>
        <r>
          <rPr>
            <b/>
            <sz val="9"/>
            <color indexed="81"/>
            <rFont val="Tahoma"/>
            <family val="2"/>
          </rPr>
          <t>Graham.Sortino:</t>
        </r>
        <r>
          <rPr>
            <sz val="9"/>
            <color indexed="81"/>
            <rFont val="Tahoma"/>
            <family val="2"/>
          </rPr>
          <t xml:space="preserve">
selected based on temperature of coolent when entering coolent jacket for first pass. 520 R is aproximately 60 F.</t>
        </r>
      </text>
    </comment>
    <comment ref="H41" authorId="0">
      <text>
        <r>
          <rPr>
            <b/>
            <sz val="9"/>
            <color indexed="81"/>
            <rFont val="Tahoma"/>
            <family val="2"/>
          </rPr>
          <t>Graham.Sortino:</t>
        </r>
        <r>
          <rPr>
            <sz val="9"/>
            <color indexed="81"/>
            <rFont val="Tahoma"/>
            <family val="2"/>
          </rPr>
          <t xml:space="preserve">
Critical temperature is the value for at which a fluid cannot be turned from a gas to a liquid no matter how much pressure is applied. This value is looked up in a chemical/thermodynamics database.</t>
        </r>
      </text>
    </comment>
    <comment ref="B42" authorId="0">
      <text>
        <r>
          <rPr>
            <b/>
            <sz val="9"/>
            <color indexed="81"/>
            <rFont val="Tahoma"/>
            <family val="2"/>
          </rPr>
          <t>Graham.Sortino:</t>
        </r>
        <r>
          <rPr>
            <sz val="9"/>
            <color indexed="81"/>
            <rFont val="Tahoma"/>
            <family val="2"/>
          </rPr>
          <t xml:space="preserve">
equation 8-8 p286
defined as the volume from the injector up to the throat</t>
        </r>
      </text>
    </comment>
    <comment ref="H42" authorId="0">
      <text>
        <r>
          <rPr>
            <b/>
            <sz val="9"/>
            <color indexed="81"/>
            <rFont val="Tahoma"/>
            <family val="2"/>
          </rPr>
          <t>Graham.Sortino:</t>
        </r>
        <r>
          <rPr>
            <sz val="9"/>
            <color indexed="81"/>
            <rFont val="Tahoma"/>
            <family val="2"/>
          </rPr>
          <t xml:space="preserve">
experimental. Based on fluid properties. This assumes the fuel is the coolent but it could be changed if needed.</t>
        </r>
      </text>
    </comment>
    <comment ref="E43" authorId="2">
      <text>
        <r>
          <rPr>
            <b/>
            <sz val="9"/>
            <color indexed="81"/>
            <rFont val="Tahoma"/>
            <family val="2"/>
          </rPr>
          <t>asd2323r:</t>
        </r>
        <r>
          <rPr>
            <sz val="9"/>
            <color indexed="81"/>
            <rFont val="Tahoma"/>
            <family val="2"/>
          </rPr>
          <t xml:space="preserve">
this is the minimum value that choked flow will occur at. Above this value flow is non-choked.</t>
        </r>
      </text>
    </comment>
    <comment ref="H43" authorId="0">
      <text>
        <r>
          <rPr>
            <b/>
            <sz val="9"/>
            <color indexed="81"/>
            <rFont val="Tahoma"/>
            <family val="2"/>
          </rPr>
          <t>Graham.Sortino:</t>
        </r>
        <r>
          <rPr>
            <sz val="9"/>
            <color indexed="81"/>
            <rFont val="Tahoma"/>
            <family val="2"/>
          </rPr>
          <t xml:space="preserve">
constant C1 (different values for various propellants). I need to figure out what this is and where to get these values.</t>
        </r>
      </text>
    </comment>
    <comment ref="B44" authorId="0">
      <text>
        <r>
          <rPr>
            <b/>
            <sz val="9"/>
            <color indexed="81"/>
            <rFont val="Tahoma"/>
            <family val="2"/>
          </rPr>
          <t>Graham.Sortino:</t>
        </r>
        <r>
          <rPr>
            <sz val="9"/>
            <color indexed="81"/>
            <rFont val="Tahoma"/>
            <family val="2"/>
          </rPr>
          <t xml:space="preserve">
Characteristic Length (Pronounced cee-star). Equation 8-9 on p287. Typical values are between .8 and 3.0 for many bipropellants.</t>
        </r>
      </text>
    </comment>
    <comment ref="H44" authorId="0">
      <text>
        <r>
          <rPr>
            <b/>
            <sz val="9"/>
            <color indexed="81"/>
            <rFont val="Tahoma"/>
            <family val="2"/>
          </rPr>
          <t>Graham.Sortino:</t>
        </r>
        <r>
          <rPr>
            <sz val="9"/>
            <color indexed="81"/>
            <rFont val="Tahoma"/>
            <family val="2"/>
          </rPr>
          <t xml:space="preserve">
this needs experimental data. </t>
        </r>
      </text>
    </comment>
    <comment ref="B45" authorId="0">
      <text>
        <r>
          <rPr>
            <b/>
            <sz val="9"/>
            <color indexed="81"/>
            <rFont val="Tahoma"/>
            <family val="2"/>
          </rPr>
          <t>Graham.Sortino:</t>
        </r>
        <r>
          <rPr>
            <sz val="9"/>
            <color indexed="81"/>
            <rFont val="Tahoma"/>
            <family val="2"/>
          </rPr>
          <t xml:space="preserve">
it is loosely recommended not to choose a value below 20 inches for an igniter.</t>
        </r>
      </text>
    </comment>
    <comment ref="H45" authorId="0">
      <text>
        <r>
          <rPr>
            <b/>
            <sz val="9"/>
            <color indexed="81"/>
            <rFont val="Tahoma"/>
            <family val="2"/>
          </rPr>
          <t>Graham.Sortino:</t>
        </r>
        <r>
          <rPr>
            <sz val="9"/>
            <color indexed="81"/>
            <rFont val="Tahoma"/>
            <family val="2"/>
          </rPr>
          <t xml:space="preserve">
this needs experimental data. </t>
        </r>
      </text>
    </comment>
    <comment ref="B46" authorId="0">
      <text>
        <r>
          <rPr>
            <b/>
            <sz val="8"/>
            <color indexed="81"/>
            <rFont val="Tahoma"/>
            <family val="2"/>
          </rPr>
          <t>Graham.Sortino:</t>
        </r>
        <r>
          <rPr>
            <sz val="8"/>
            <color indexed="81"/>
            <rFont val="Tahoma"/>
            <family val="2"/>
          </rPr>
          <t xml:space="preserve">
This is equation 3-24 but solving for Throat Area instead of mass flow (see p63 for an example). In order to do this the mass flow rate must already be known, which is usually the case.
Nozzle Throat Area is an important property because once it is known along with the nozzle area ratio the actual dimensions of the nozzle may then be calculated.</t>
        </r>
      </text>
    </comment>
    <comment ref="B47" authorId="0">
      <text>
        <r>
          <rPr>
            <b/>
            <sz val="8"/>
            <color indexed="81"/>
            <rFont val="Tahoma"/>
            <family val="2"/>
          </rPr>
          <t>Graham.Sortino:</t>
        </r>
        <r>
          <rPr>
            <sz val="8"/>
            <color indexed="81"/>
            <rFont val="Tahoma"/>
            <family val="2"/>
          </rPr>
          <t xml:space="preserve">
This is equation 3-24 but solving for Throat Area instead of mass flow (see p63 for an example). In order to do this the mass flow rate must already be known, which is usually the case.
Nozzle Throat Area is an important property because once it is known along with the nozzle area ratio the actual dimensions of the nozzle may then be calculated.</t>
        </r>
      </text>
    </comment>
    <comment ref="E47" authorId="0">
      <text>
        <r>
          <rPr>
            <b/>
            <sz val="9"/>
            <color indexed="81"/>
            <rFont val="Tahoma"/>
            <family val="2"/>
          </rPr>
          <t>Graham.Sortino:</t>
        </r>
        <r>
          <rPr>
            <sz val="9"/>
            <color indexed="81"/>
            <rFont val="Tahoma"/>
            <family val="2"/>
          </rPr>
          <t xml:space="preserve">
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8" authorId="0">
      <text>
        <r>
          <rPr>
            <b/>
            <sz val="9"/>
            <color indexed="81"/>
            <rFont val="Tahoma"/>
            <family val="2"/>
          </rPr>
          <t>Graham.Sortino:</t>
        </r>
        <r>
          <rPr>
            <sz val="9"/>
            <color indexed="81"/>
            <rFont val="Tahoma"/>
            <family val="2"/>
          </rPr>
          <t xml:space="preserve">
This is a measure of the loss in flow efficiency due to an imperfect design. 1 would be perfect. Note it is possible to calculate this as a function of the reynolds number, however, for rough approximations, the flow coefficient may be assumed to be between 0.60 and 0.75. For a first approximation, a flow coefficient of 0.62 can be used as this approximates to fully developed flow.</t>
        </r>
      </text>
    </comment>
    <comment ref="E49" authorId="0">
      <text>
        <r>
          <rPr>
            <b/>
            <sz val="9"/>
            <color indexed="81"/>
            <rFont val="Tahoma"/>
            <family val="2"/>
          </rPr>
          <t>Graham.Sortino:</t>
        </r>
        <r>
          <rPr>
            <sz val="9"/>
            <color indexed="81"/>
            <rFont val="Tahoma"/>
            <family val="2"/>
          </rPr>
          <t xml:space="preserve">
*ONLY FILL THIS OUT IF FUEL IS GASSEOUS. OTHERWISE LEAVE BLANK*
</t>
        </r>
      </text>
    </comment>
    <comment ref="H49" authorId="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B50" authorId="0">
      <text>
        <r>
          <rPr>
            <b/>
            <sz val="9"/>
            <color indexed="81"/>
            <rFont val="Tahoma"/>
            <family val="2"/>
          </rPr>
          <t>Graham.Sortino:</t>
        </r>
        <r>
          <rPr>
            <sz val="9"/>
            <color indexed="81"/>
            <rFont val="Tahoma"/>
            <family val="2"/>
          </rPr>
          <t xml:space="preserve">
this is the length of the nozzle (ie between the convergent and divergent sections. I don't have a lot of data on this so I'm recomending for now to set it the same as Nozzle Radius</t>
        </r>
      </text>
    </comment>
    <comment ref="E50" authorId="0">
      <text>
        <r>
          <rPr>
            <b/>
            <sz val="9"/>
            <color indexed="81"/>
            <rFont val="Tahoma"/>
            <family val="2"/>
          </rPr>
          <t>Graham.Sortino:</t>
        </r>
        <r>
          <rPr>
            <sz val="9"/>
            <color indexed="81"/>
            <rFont val="Tahoma"/>
            <family val="2"/>
          </rPr>
          <t xml:space="preserve">
*ONLY FILL THIS OUT IF OXIDIZER IS GASSEOUS. OTHERWISE LEAVE BLANK*</t>
        </r>
      </text>
    </comment>
    <comment ref="H50" authorId="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E51" authorId="0">
      <text>
        <r>
          <rPr>
            <b/>
            <sz val="9"/>
            <color indexed="81"/>
            <rFont val="Tahoma"/>
            <family val="2"/>
          </rPr>
          <t>Graham.Sortino:</t>
        </r>
        <r>
          <rPr>
            <sz val="9"/>
            <color indexed="81"/>
            <rFont val="Tahoma"/>
            <family val="2"/>
          </rPr>
          <t xml:space="preserve">
*ONLY FILL THIS OUT IF FUEL IS GASSEOUS. OTHERWISE LEAVE BLANK*
60 degrees farenheight (STP imperial units) is 288.705556 kelvin</t>
        </r>
      </text>
    </comment>
    <comment ref="H51" authorId="2">
      <text>
        <r>
          <rPr>
            <b/>
            <sz val="9"/>
            <color indexed="81"/>
            <rFont val="Tahoma"/>
            <family val="2"/>
          </rPr>
          <t>asd2323r:</t>
        </r>
        <r>
          <rPr>
            <sz val="9"/>
            <color indexed="81"/>
            <rFont val="Tahoma"/>
            <family val="2"/>
          </rPr>
          <t xml:space="preserve">
per tube</t>
        </r>
      </text>
    </comment>
    <comment ref="E52" authorId="0">
      <text>
        <r>
          <rPr>
            <b/>
            <sz val="9"/>
            <color indexed="81"/>
            <rFont val="Tahoma"/>
            <family val="2"/>
          </rPr>
          <t>Graham.Sortino:</t>
        </r>
        <r>
          <rPr>
            <sz val="9"/>
            <color indexed="81"/>
            <rFont val="Tahoma"/>
            <family val="2"/>
          </rPr>
          <t xml:space="preserve">
*ONLY FILL THIS OUT IF OXIDIZER IS GASSEOUS. OTHERWISE LEAVE BLANK*
60 degrees farenheight (STP imperial units) is 288.705556 kelvin</t>
        </r>
      </text>
    </comment>
    <comment ref="E53" authorId="2">
      <text>
        <r>
          <rPr>
            <b/>
            <sz val="9"/>
            <color indexed="81"/>
            <rFont val="Tahoma"/>
            <family val="2"/>
          </rPr>
          <t>asd2323r:</t>
        </r>
        <r>
          <rPr>
            <sz val="9"/>
            <color indexed="81"/>
            <rFont val="Tahoma"/>
            <family val="2"/>
          </rPr>
          <t xml:space="preserve">
3 different equations are used depending on the type of flow:
(1) incompressible
(2) compressible choked
(3) compressible non-choked</t>
        </r>
      </text>
    </comment>
    <comment ref="H53" authorId="2">
      <text>
        <r>
          <rPr>
            <b/>
            <sz val="9"/>
            <color indexed="81"/>
            <rFont val="Tahoma"/>
            <family val="2"/>
          </rPr>
          <t>asd2323r:</t>
        </r>
        <r>
          <rPr>
            <sz val="9"/>
            <color indexed="81"/>
            <rFont val="Tahoma"/>
            <family val="2"/>
          </rPr>
          <t xml:space="preserve">
I used to use this function from H&amp;H: =((F25*2.20462)*4)/(PI()*I23*I20^2*(I26/1728))/12
but I've since replaced it with a simple flow rate / area function</t>
        </r>
      </text>
    </comment>
    <comment ref="H54" authorId="2">
      <text>
        <r>
          <rPr>
            <b/>
            <sz val="9"/>
            <color indexed="81"/>
            <rFont val="Tahoma"/>
            <family val="2"/>
          </rPr>
          <t>asd2323r:</t>
        </r>
        <r>
          <rPr>
            <sz val="9"/>
            <color indexed="81"/>
            <rFont val="Tahoma"/>
            <family val="2"/>
          </rPr>
          <t xml:space="preserve">
this is simply flow-rate/area</t>
        </r>
      </text>
    </comment>
    <comment ref="H55" authorId="0">
      <text>
        <r>
          <rPr>
            <b/>
            <sz val="9"/>
            <color indexed="81"/>
            <rFont val="Tahoma"/>
            <family val="2"/>
          </rPr>
          <t>Graham.Sortino:</t>
        </r>
        <r>
          <rPr>
            <sz val="9"/>
            <color indexed="81"/>
            <rFont val="Tahoma"/>
            <family val="2"/>
          </rPr>
          <t xml:space="preserve">
taken from Huzel 4-26 (p91).  The value of q should be comfortably below Qc inorder for the coolenet to successfully handle the heat flux.</t>
        </r>
      </text>
    </comment>
    <comment ref="B56" authorId="1">
      <text>
        <r>
          <rPr>
            <b/>
            <sz val="8"/>
            <color indexed="81"/>
            <rFont val="Tahoma"/>
            <family val="2"/>
          </rPr>
          <t>Graham:</t>
        </r>
        <r>
          <rPr>
            <sz val="8"/>
            <color indexed="81"/>
            <rFont val="Tahoma"/>
            <family val="2"/>
          </rPr>
          <t xml:space="preserve">
Used to calculate the effective percentage loss in Ideal Velocity due to drag forces. Typical Values are between 5 and 10%. 
See bottom of page 108 for more details.</t>
        </r>
      </text>
    </comment>
    <comment ref="B57" authorId="0">
      <text>
        <r>
          <rPr>
            <b/>
            <sz val="9"/>
            <color indexed="81"/>
            <rFont val="Tahoma"/>
            <family val="2"/>
          </rPr>
          <t>Graham.Sortino:</t>
        </r>
        <r>
          <rPr>
            <sz val="9"/>
            <color indexed="81"/>
            <rFont val="Tahoma"/>
            <family val="2"/>
          </rPr>
          <t xml:space="preserve">
Calculated from Fig 3-14 (p80)
Lcone = (r2 - rt) / tan(alpha)</t>
        </r>
      </text>
    </comment>
    <comment ref="E57" authorId="2">
      <text>
        <r>
          <rPr>
            <b/>
            <sz val="9"/>
            <color indexed="81"/>
            <rFont val="Tahoma"/>
            <family val="2"/>
          </rPr>
          <t>asd2323r:</t>
        </r>
        <r>
          <rPr>
            <sz val="9"/>
            <color indexed="81"/>
            <rFont val="Tahoma"/>
            <family val="2"/>
          </rPr>
          <t xml:space="preserve">
3 different equations are used depending on the type of flow:
(1) incompressible
(2) compressible choked
(3) compressible non-choked</t>
        </r>
      </text>
    </comment>
    <comment ref="H57" authorId="0">
      <text>
        <r>
          <rPr>
            <b/>
            <sz val="9"/>
            <color indexed="81"/>
            <rFont val="Tahoma"/>
            <family val="2"/>
          </rPr>
          <t>Graham.Sortino:</t>
        </r>
        <r>
          <rPr>
            <sz val="9"/>
            <color indexed="81"/>
            <rFont val="Tahoma"/>
            <family val="2"/>
          </rPr>
          <t xml:space="preserve">
Matt aproximation taken from © Robert Watzlavick (rocket@watzlavick.com) computation spreadsheet.</t>
        </r>
      </text>
    </comment>
    <comment ref="B59" authorId="0">
      <text>
        <r>
          <rPr>
            <b/>
            <sz val="9"/>
            <color indexed="81"/>
            <rFont val="Tahoma"/>
            <family val="2"/>
          </rPr>
          <t>Graham.Sortino:</t>
        </r>
        <r>
          <rPr>
            <sz val="9"/>
            <color indexed="81"/>
            <rFont val="Tahoma"/>
            <family val="2"/>
          </rPr>
          <t xml:space="preserve">
calculated from nozzle length and divergence half angle using basic trig: cos(alpha) = Adj / Hyp</t>
        </r>
      </text>
    </comment>
    <comment ref="B61" authorId="0">
      <text>
        <r>
          <rPr>
            <b/>
            <sz val="8"/>
            <color indexed="81"/>
            <rFont val="Tahoma"/>
            <family val="2"/>
          </rPr>
          <t>Graham.Sortino:</t>
        </r>
        <r>
          <rPr>
            <sz val="8"/>
            <color indexed="81"/>
            <rFont val="Tahoma"/>
            <family val="2"/>
          </rPr>
          <t xml:space="preserve">
currently this is just a user defined number but eventually we could get more sophisticated with materials and heat distribution, etc...</t>
        </r>
      </text>
    </comment>
  </commentList>
</comments>
</file>

<file path=xl/sharedStrings.xml><?xml version="1.0" encoding="utf-8"?>
<sst xmlns="http://schemas.openxmlformats.org/spreadsheetml/2006/main" count="389" uniqueCount="248">
  <si>
    <t>kg</t>
  </si>
  <si>
    <t>x</t>
  </si>
  <si>
    <r>
      <t>Propellant Mass Fraction (</t>
    </r>
    <r>
      <rPr>
        <i/>
        <sz val="10"/>
        <rFont val="Arial"/>
        <family val="2"/>
      </rPr>
      <t>ξ</t>
    </r>
    <r>
      <rPr>
        <sz val="10"/>
        <rFont val="Arial"/>
        <family val="2"/>
      </rPr>
      <t>) =</t>
    </r>
  </si>
  <si>
    <r>
      <t>Initial Velocity (</t>
    </r>
    <r>
      <rPr>
        <i/>
        <sz val="10"/>
        <rFont val="Arial"/>
        <family val="2"/>
      </rPr>
      <t>u</t>
    </r>
    <r>
      <rPr>
        <i/>
        <vertAlign val="subscript"/>
        <sz val="10"/>
        <rFont val="Arial"/>
        <family val="2"/>
      </rPr>
      <t>0</t>
    </r>
    <r>
      <rPr>
        <sz val="10"/>
        <rFont val="Arial"/>
        <family val="2"/>
      </rPr>
      <t>)</t>
    </r>
  </si>
  <si>
    <r>
      <t>Initial Height (</t>
    </r>
    <r>
      <rPr>
        <i/>
        <sz val="10"/>
        <rFont val="Arial"/>
        <family val="2"/>
      </rPr>
      <t>h</t>
    </r>
    <r>
      <rPr>
        <i/>
        <vertAlign val="subscript"/>
        <sz val="10"/>
        <rFont val="Arial"/>
        <family val="2"/>
      </rPr>
      <t>0</t>
    </r>
    <r>
      <rPr>
        <sz val="10"/>
        <rFont val="Arial"/>
        <family val="2"/>
      </rPr>
      <t>)</t>
    </r>
  </si>
  <si>
    <t>sec</t>
  </si>
  <si>
    <t>m/sec</t>
  </si>
  <si>
    <t>m</t>
  </si>
  <si>
    <t>kg/sec</t>
  </si>
  <si>
    <t>kelvin</t>
  </si>
  <si>
    <t>j/Kg-K</t>
  </si>
  <si>
    <r>
      <t>Nozzle Exit Pressure (</t>
    </r>
    <r>
      <rPr>
        <i/>
        <sz val="10"/>
        <rFont val="Arial"/>
        <family val="2"/>
      </rPr>
      <t>p</t>
    </r>
    <r>
      <rPr>
        <i/>
        <vertAlign val="subscript"/>
        <sz val="10"/>
        <rFont val="Arial"/>
        <family val="2"/>
      </rPr>
      <t>2</t>
    </r>
    <r>
      <rPr>
        <sz val="10"/>
        <rFont val="Arial"/>
        <family val="2"/>
      </rPr>
      <t>) =</t>
    </r>
  </si>
  <si>
    <r>
      <t>Nozzle Inlet/Chamber Pressure (</t>
    </r>
    <r>
      <rPr>
        <i/>
        <sz val="10"/>
        <rFont val="Arial"/>
        <family val="2"/>
      </rPr>
      <t>p</t>
    </r>
    <r>
      <rPr>
        <i/>
        <vertAlign val="subscript"/>
        <sz val="10"/>
        <rFont val="Arial"/>
        <family val="2"/>
      </rPr>
      <t>1</t>
    </r>
    <r>
      <rPr>
        <sz val="10"/>
        <rFont val="Arial"/>
        <family val="2"/>
      </rPr>
      <t>) =</t>
    </r>
  </si>
  <si>
    <t>Pascal (MPa)</t>
  </si>
  <si>
    <r>
      <t>Nozzle Throat Pressure (</t>
    </r>
    <r>
      <rPr>
        <i/>
        <sz val="10"/>
        <rFont val="Arial"/>
        <family val="2"/>
      </rPr>
      <t>p</t>
    </r>
    <r>
      <rPr>
        <i/>
        <vertAlign val="subscript"/>
        <sz val="10"/>
        <rFont val="Arial"/>
        <family val="2"/>
      </rPr>
      <t>t</t>
    </r>
    <r>
      <rPr>
        <sz val="10"/>
        <rFont val="Arial"/>
        <family val="2"/>
      </rPr>
      <t>)=</t>
    </r>
  </si>
  <si>
    <r>
      <t>Nozzle Area Ratio (</t>
    </r>
    <r>
      <rPr>
        <i/>
        <sz val="10"/>
        <rFont val="Arial"/>
        <family val="2"/>
      </rPr>
      <t>A</t>
    </r>
    <r>
      <rPr>
        <i/>
        <vertAlign val="subscript"/>
        <sz val="10"/>
        <rFont val="Arial"/>
        <family val="2"/>
      </rPr>
      <t>2</t>
    </r>
    <r>
      <rPr>
        <i/>
        <sz val="10"/>
        <rFont val="Arial"/>
        <family val="2"/>
      </rPr>
      <t>/A</t>
    </r>
    <r>
      <rPr>
        <i/>
        <vertAlign val="subscript"/>
        <sz val="10"/>
        <rFont val="Arial"/>
        <family val="2"/>
      </rPr>
      <t>t</t>
    </r>
    <r>
      <rPr>
        <sz val="10"/>
        <rFont val="Arial"/>
        <family val="2"/>
      </rPr>
      <t>) =</t>
    </r>
  </si>
  <si>
    <t>meters</t>
  </si>
  <si>
    <r>
      <t>Exhaust Velocity (</t>
    </r>
    <r>
      <rPr>
        <i/>
        <sz val="10"/>
        <rFont val="Arial"/>
        <family val="2"/>
      </rPr>
      <t>v</t>
    </r>
    <r>
      <rPr>
        <i/>
        <vertAlign val="subscript"/>
        <sz val="10"/>
        <rFont val="Arial"/>
        <family val="2"/>
      </rPr>
      <t>2</t>
    </r>
    <r>
      <rPr>
        <sz val="10"/>
        <rFont val="Arial"/>
        <family val="2"/>
      </rPr>
      <t>) =</t>
    </r>
  </si>
  <si>
    <r>
      <t>Pressure Ratio (</t>
    </r>
    <r>
      <rPr>
        <i/>
        <sz val="10"/>
        <rFont val="Arial"/>
        <family val="2"/>
      </rPr>
      <t>p</t>
    </r>
    <r>
      <rPr>
        <i/>
        <vertAlign val="subscript"/>
        <sz val="10"/>
        <rFont val="Arial"/>
        <family val="2"/>
      </rPr>
      <t>1</t>
    </r>
    <r>
      <rPr>
        <i/>
        <sz val="10"/>
        <rFont val="Arial"/>
        <family val="2"/>
      </rPr>
      <t>/p</t>
    </r>
    <r>
      <rPr>
        <i/>
        <vertAlign val="subscript"/>
        <sz val="10"/>
        <rFont val="Arial"/>
        <family val="2"/>
      </rPr>
      <t>2</t>
    </r>
    <r>
      <rPr>
        <sz val="10"/>
        <rFont val="Arial"/>
        <family val="2"/>
      </rPr>
      <t>) =</t>
    </r>
  </si>
  <si>
    <r>
      <t>Pressure Ratio (</t>
    </r>
    <r>
      <rPr>
        <i/>
        <sz val="10"/>
        <rFont val="Arial"/>
        <family val="2"/>
      </rPr>
      <t>p</t>
    </r>
    <r>
      <rPr>
        <i/>
        <vertAlign val="subscript"/>
        <sz val="10"/>
        <rFont val="Arial"/>
        <family val="2"/>
      </rPr>
      <t>2</t>
    </r>
    <r>
      <rPr>
        <i/>
        <sz val="10"/>
        <rFont val="Arial"/>
        <family val="2"/>
      </rPr>
      <t>/p</t>
    </r>
    <r>
      <rPr>
        <i/>
        <vertAlign val="subscript"/>
        <sz val="10"/>
        <rFont val="Arial"/>
        <family val="2"/>
      </rPr>
      <t>1</t>
    </r>
    <r>
      <rPr>
        <sz val="10"/>
        <rFont val="Arial"/>
        <family val="2"/>
      </rPr>
      <t>) =</t>
    </r>
  </si>
  <si>
    <t>Payload Mass =</t>
  </si>
  <si>
    <t>Propellent Mass =</t>
  </si>
  <si>
    <t>Inert hardware Mass</t>
  </si>
  <si>
    <t>Nozzle Throat Area =</t>
  </si>
  <si>
    <t>Nozzle Exit Area =</t>
  </si>
  <si>
    <t>Nozzle Length =</t>
  </si>
  <si>
    <t>Mixture Ratio (Oxidizer/Fuel) =</t>
  </si>
  <si>
    <t>G-Forces</t>
  </si>
  <si>
    <r>
      <t>Force Max (</t>
    </r>
    <r>
      <rPr>
        <i/>
        <sz val="10"/>
        <rFont val="Arial"/>
        <family val="2"/>
      </rPr>
      <t>F</t>
    </r>
    <r>
      <rPr>
        <i/>
        <vertAlign val="subscript"/>
        <sz val="10"/>
        <rFont val="Arial"/>
        <family val="2"/>
      </rPr>
      <t>max</t>
    </r>
    <r>
      <rPr>
        <sz val="10"/>
        <rFont val="Arial"/>
        <family val="2"/>
      </rPr>
      <t>) =</t>
    </r>
  </si>
  <si>
    <t>Max Acceleration =</t>
  </si>
  <si>
    <t>Max Burn Time</t>
  </si>
  <si>
    <t>Newtons</t>
  </si>
  <si>
    <r>
      <t>Initial Mass (</t>
    </r>
    <r>
      <rPr>
        <i/>
        <sz val="10"/>
        <rFont val="Arial"/>
        <family val="2"/>
      </rPr>
      <t>m</t>
    </r>
    <r>
      <rPr>
        <i/>
        <vertAlign val="subscript"/>
        <sz val="10"/>
        <rFont val="Arial"/>
        <family val="2"/>
      </rPr>
      <t>o</t>
    </r>
    <r>
      <rPr>
        <sz val="10"/>
        <rFont val="Arial"/>
        <family val="2"/>
      </rPr>
      <t>)</t>
    </r>
  </si>
  <si>
    <r>
      <t>Final Mass (</t>
    </r>
    <r>
      <rPr>
        <i/>
        <sz val="10"/>
        <rFont val="Arial"/>
        <family val="2"/>
      </rPr>
      <t>m</t>
    </r>
    <r>
      <rPr>
        <i/>
        <vertAlign val="subscript"/>
        <sz val="10"/>
        <rFont val="Arial"/>
        <family val="2"/>
      </rPr>
      <t>f</t>
    </r>
    <r>
      <rPr>
        <sz val="10"/>
        <rFont val="Arial"/>
        <family val="2"/>
      </rPr>
      <t>)</t>
    </r>
  </si>
  <si>
    <r>
      <t>Critical Pressure Ratio (</t>
    </r>
    <r>
      <rPr>
        <i/>
        <sz val="10"/>
        <rFont val="Arial"/>
        <family val="2"/>
      </rPr>
      <t>p</t>
    </r>
    <r>
      <rPr>
        <i/>
        <vertAlign val="subscript"/>
        <sz val="10"/>
        <rFont val="Arial"/>
        <family val="2"/>
      </rPr>
      <t>t</t>
    </r>
    <r>
      <rPr>
        <i/>
        <sz val="10"/>
        <rFont val="Arial"/>
        <family val="2"/>
      </rPr>
      <t>/p</t>
    </r>
    <r>
      <rPr>
        <i/>
        <vertAlign val="subscript"/>
        <sz val="10"/>
        <rFont val="Arial"/>
        <family val="2"/>
      </rPr>
      <t>1</t>
    </r>
    <r>
      <rPr>
        <sz val="10"/>
        <rFont val="Arial"/>
        <family val="2"/>
      </rPr>
      <t>) =</t>
    </r>
  </si>
  <si>
    <t>Nozzle Throat Diameter =</t>
  </si>
  <si>
    <t>Nozzle Exit Diameter =</t>
  </si>
  <si>
    <r>
      <t>Desired Velocity Increment (</t>
    </r>
    <r>
      <rPr>
        <i/>
        <sz val="10"/>
        <rFont val="Arial"/>
        <family val="2"/>
      </rPr>
      <t>v</t>
    </r>
    <r>
      <rPr>
        <i/>
        <vertAlign val="subscript"/>
        <sz val="10"/>
        <rFont val="Arial"/>
        <family val="2"/>
      </rPr>
      <t>f</t>
    </r>
    <r>
      <rPr>
        <sz val="10"/>
        <rFont val="Arial"/>
        <family val="2"/>
      </rPr>
      <t>)</t>
    </r>
  </si>
  <si>
    <r>
      <t>Mass Ratio (</t>
    </r>
    <r>
      <rPr>
        <b/>
        <sz val="10"/>
        <rFont val="Arial"/>
        <family val="2"/>
      </rPr>
      <t>MR</t>
    </r>
    <r>
      <rPr>
        <sz val="10"/>
        <rFont val="Arial"/>
        <family val="2"/>
      </rPr>
      <t>) =</t>
    </r>
  </si>
  <si>
    <r>
      <t>1 / Mass Ratio (1/</t>
    </r>
    <r>
      <rPr>
        <b/>
        <sz val="10"/>
        <rFont val="Arial"/>
        <family val="2"/>
      </rPr>
      <t>MR</t>
    </r>
    <r>
      <rPr>
        <sz val="10"/>
        <rFont val="Arial"/>
        <family val="2"/>
      </rPr>
      <t>) =</t>
    </r>
  </si>
  <si>
    <t>Drag Loss Correction Factor</t>
  </si>
  <si>
    <t>degrees</t>
  </si>
  <si>
    <t xml:space="preserve"> </t>
  </si>
  <si>
    <t>inches</t>
  </si>
  <si>
    <r>
      <t>meters</t>
    </r>
    <r>
      <rPr>
        <vertAlign val="superscript"/>
        <sz val="10"/>
        <rFont val="Arial"/>
        <family val="2"/>
      </rPr>
      <t>2</t>
    </r>
  </si>
  <si>
    <r>
      <t>inches</t>
    </r>
    <r>
      <rPr>
        <vertAlign val="superscript"/>
        <sz val="10"/>
        <rFont val="Arial"/>
        <family val="2"/>
      </rPr>
      <t>2</t>
    </r>
  </si>
  <si>
    <r>
      <t xml:space="preserve">Nozzle Cone Diverence Half Angle </t>
    </r>
    <r>
      <rPr>
        <i/>
        <sz val="10"/>
        <rFont val="Arial"/>
        <family val="2"/>
      </rPr>
      <t>(α)</t>
    </r>
    <r>
      <rPr>
        <sz val="10"/>
        <rFont val="Arial"/>
        <family val="2"/>
      </rPr>
      <t xml:space="preserve"> =</t>
    </r>
  </si>
  <si>
    <t>y-top</t>
  </si>
  <si>
    <t>y-bottom</t>
  </si>
  <si>
    <t>Chamber Cross Sectional Area =</t>
  </si>
  <si>
    <t>Chamber Diameter =</t>
  </si>
  <si>
    <r>
      <t xml:space="preserve">Chamber Contraction Ratio  </t>
    </r>
    <r>
      <rPr>
        <i/>
        <sz val="10"/>
        <rFont val="Arial"/>
        <family val="2"/>
      </rPr>
      <t>(A</t>
    </r>
    <r>
      <rPr>
        <i/>
        <vertAlign val="subscript"/>
        <sz val="10"/>
        <rFont val="Arial"/>
        <family val="2"/>
      </rPr>
      <t>1</t>
    </r>
    <r>
      <rPr>
        <i/>
        <sz val="10"/>
        <rFont val="Arial"/>
        <family val="2"/>
      </rPr>
      <t>/A</t>
    </r>
    <r>
      <rPr>
        <i/>
        <vertAlign val="subscript"/>
        <sz val="10"/>
        <rFont val="Arial"/>
        <family val="2"/>
      </rPr>
      <t>t</t>
    </r>
    <r>
      <rPr>
        <i/>
        <sz val="10"/>
        <rFont val="Arial"/>
        <family val="2"/>
      </rPr>
      <t>) =</t>
    </r>
  </si>
  <si>
    <t>Chamber Length =</t>
  </si>
  <si>
    <r>
      <t>Conical Frustum Length (</t>
    </r>
    <r>
      <rPr>
        <i/>
        <sz val="10"/>
        <rFont val="Arial"/>
        <family val="2"/>
      </rPr>
      <t>L</t>
    </r>
    <r>
      <rPr>
        <i/>
        <vertAlign val="subscript"/>
        <sz val="10"/>
        <rFont val="Arial"/>
        <family val="2"/>
      </rPr>
      <t>c</t>
    </r>
    <r>
      <rPr>
        <sz val="10"/>
        <rFont val="Arial"/>
        <family val="2"/>
      </rPr>
      <t>) =</t>
    </r>
  </si>
  <si>
    <r>
      <t xml:space="preserve">Chamber Volume </t>
    </r>
    <r>
      <rPr>
        <i/>
        <sz val="10"/>
        <rFont val="Arial"/>
        <family val="2"/>
      </rPr>
      <t>(V</t>
    </r>
    <r>
      <rPr>
        <i/>
        <vertAlign val="subscript"/>
        <sz val="10"/>
        <rFont val="Arial"/>
        <family val="2"/>
      </rPr>
      <t>c</t>
    </r>
    <r>
      <rPr>
        <i/>
        <sz val="10"/>
        <rFont val="Arial"/>
        <family val="2"/>
      </rPr>
      <t>)</t>
    </r>
    <r>
      <rPr>
        <sz val="10"/>
        <rFont val="Arial"/>
        <family val="2"/>
      </rPr>
      <t>=</t>
    </r>
  </si>
  <si>
    <r>
      <t xml:space="preserve">Chamber Length </t>
    </r>
    <r>
      <rPr>
        <i/>
        <sz val="10"/>
        <rFont val="Arial"/>
        <family val="2"/>
      </rPr>
      <t>(L</t>
    </r>
    <r>
      <rPr>
        <i/>
        <vertAlign val="subscript"/>
        <sz val="10"/>
        <rFont val="Arial"/>
        <family val="2"/>
      </rPr>
      <t>1</t>
    </r>
    <r>
      <rPr>
        <i/>
        <sz val="10"/>
        <rFont val="Arial"/>
        <family val="2"/>
      </rPr>
      <t>)</t>
    </r>
    <r>
      <rPr>
        <sz val="10"/>
        <rFont val="Arial"/>
        <family val="2"/>
      </rPr>
      <t>=</t>
    </r>
  </si>
  <si>
    <r>
      <t>meters</t>
    </r>
    <r>
      <rPr>
        <vertAlign val="superscript"/>
        <sz val="10"/>
        <rFont val="Arial"/>
        <family val="2"/>
      </rPr>
      <t>3</t>
    </r>
  </si>
  <si>
    <r>
      <t>inches</t>
    </r>
    <r>
      <rPr>
        <vertAlign val="superscript"/>
        <sz val="10"/>
        <rFont val="Arial"/>
        <family val="2"/>
      </rPr>
      <t>3</t>
    </r>
  </si>
  <si>
    <r>
      <t xml:space="preserve">Convergence Length </t>
    </r>
    <r>
      <rPr>
        <sz val="10"/>
        <rFont val="Arial"/>
        <family val="2"/>
      </rPr>
      <t xml:space="preserve"> =</t>
    </r>
  </si>
  <si>
    <r>
      <t xml:space="preserve">Nozzle Frustm Length </t>
    </r>
    <r>
      <rPr>
        <i/>
        <sz val="10"/>
        <rFont val="Arial"/>
        <family val="2"/>
      </rPr>
      <t>(N</t>
    </r>
    <r>
      <rPr>
        <i/>
        <vertAlign val="subscript"/>
        <sz val="10"/>
        <rFont val="Arial"/>
        <family val="2"/>
      </rPr>
      <t>c</t>
    </r>
    <r>
      <rPr>
        <i/>
        <sz val="10"/>
        <rFont val="Arial"/>
        <family val="2"/>
      </rPr>
      <t>)</t>
    </r>
    <r>
      <rPr>
        <sz val="10"/>
        <rFont val="Arial"/>
        <family val="2"/>
      </rPr>
      <t xml:space="preserve"> =</t>
    </r>
  </si>
  <si>
    <t>Chamber Wall Thickness =</t>
  </si>
  <si>
    <r>
      <t xml:space="preserve">Chamber Characteristic Length </t>
    </r>
    <r>
      <rPr>
        <i/>
        <sz val="10"/>
        <rFont val="Arial"/>
        <family val="2"/>
      </rPr>
      <t>(L*)</t>
    </r>
    <r>
      <rPr>
        <sz val="10"/>
        <rFont val="Arial"/>
        <family val="2"/>
      </rPr>
      <t xml:space="preserve"> =</t>
    </r>
  </si>
  <si>
    <t>Nozzle Throat Length =</t>
  </si>
  <si>
    <t>y-top-outer</t>
  </si>
  <si>
    <t>Chamber &amp; Nozzle Measurements For Graph</t>
  </si>
  <si>
    <t>y-bottom-outer</t>
  </si>
  <si>
    <t>Convergence Length  =</t>
  </si>
  <si>
    <r>
      <t>m</t>
    </r>
    <r>
      <rPr>
        <vertAlign val="superscript"/>
        <sz val="10"/>
        <rFont val="Arial"/>
        <family val="2"/>
      </rPr>
      <t>3</t>
    </r>
    <r>
      <rPr>
        <sz val="10"/>
        <rFont val="Arial"/>
        <family val="2"/>
      </rPr>
      <t>/sec</t>
    </r>
  </si>
  <si>
    <r>
      <t>kg/m</t>
    </r>
    <r>
      <rPr>
        <vertAlign val="superscript"/>
        <sz val="10"/>
        <rFont val="Arial"/>
        <family val="2"/>
      </rPr>
      <t>3</t>
    </r>
  </si>
  <si>
    <r>
      <t xml:space="preserve">Nozzle Cone Convergence Half Angle </t>
    </r>
    <r>
      <rPr>
        <i/>
        <sz val="10"/>
        <rFont val="Arial"/>
        <family val="2"/>
      </rPr>
      <t>(α)</t>
    </r>
    <r>
      <rPr>
        <sz val="10"/>
        <rFont val="Arial"/>
        <family val="2"/>
      </rPr>
      <t xml:space="preserve"> =</t>
    </r>
  </si>
  <si>
    <t>gallons/min</t>
  </si>
  <si>
    <r>
      <t>Propellent Mass Flow Rate Oxidizer (</t>
    </r>
    <r>
      <rPr>
        <i/>
        <sz val="10"/>
        <rFont val="Arial"/>
        <family val="2"/>
      </rPr>
      <t>m</t>
    </r>
    <r>
      <rPr>
        <i/>
        <vertAlign val="subscript"/>
        <sz val="10"/>
        <rFont val="Arial"/>
        <family val="2"/>
      </rPr>
      <t>o</t>
    </r>
    <r>
      <rPr>
        <sz val="10"/>
        <rFont val="Arial"/>
        <family val="2"/>
      </rPr>
      <t>) =</t>
    </r>
  </si>
  <si>
    <r>
      <t>m</t>
    </r>
    <r>
      <rPr>
        <vertAlign val="superscript"/>
        <sz val="10"/>
        <rFont val="Arial"/>
        <family val="2"/>
      </rPr>
      <t>2</t>
    </r>
    <r>
      <rPr>
        <sz val="10"/>
        <rFont val="Arial"/>
        <family val="2"/>
      </rPr>
      <t/>
    </r>
  </si>
  <si>
    <r>
      <t>m</t>
    </r>
    <r>
      <rPr>
        <i/>
        <vertAlign val="superscript"/>
        <sz val="10"/>
        <rFont val="Arial"/>
        <family val="2"/>
      </rPr>
      <t>2</t>
    </r>
  </si>
  <si>
    <t>in</t>
  </si>
  <si>
    <t>dimensionless</t>
  </si>
  <si>
    <t>lbs (Pounds Force)</t>
  </si>
  <si>
    <r>
      <t xml:space="preserve">Fuel Change in Feed vs Chamber Pressure </t>
    </r>
    <r>
      <rPr>
        <i/>
        <sz val="10"/>
        <rFont val="Arial"/>
        <family val="2"/>
      </rPr>
      <t>(Δp</t>
    </r>
    <r>
      <rPr>
        <i/>
        <vertAlign val="subscript"/>
        <sz val="10"/>
        <rFont val="Arial"/>
        <family val="2"/>
      </rPr>
      <t>f</t>
    </r>
    <r>
      <rPr>
        <i/>
        <sz val="10"/>
        <rFont val="Arial"/>
        <family val="2"/>
      </rPr>
      <t>)</t>
    </r>
    <r>
      <rPr>
        <sz val="10"/>
        <rFont val="Arial"/>
        <family val="2"/>
      </rPr>
      <t xml:space="preserve"> =</t>
    </r>
  </si>
  <si>
    <r>
      <t>Oxidizer Change in Feed vs Chamber Pressure (</t>
    </r>
    <r>
      <rPr>
        <i/>
        <sz val="10"/>
        <rFont val="Arial"/>
        <family val="2"/>
      </rPr>
      <t>Δp</t>
    </r>
    <r>
      <rPr>
        <i/>
        <vertAlign val="subscript"/>
        <sz val="10"/>
        <rFont val="Arial"/>
        <family val="2"/>
      </rPr>
      <t>o</t>
    </r>
    <r>
      <rPr>
        <sz val="10"/>
        <rFont val="Arial"/>
        <family val="2"/>
      </rPr>
      <t>)=</t>
    </r>
  </si>
  <si>
    <r>
      <t>Propellent Mass Flow Rate (</t>
    </r>
    <r>
      <rPr>
        <i/>
        <sz val="10"/>
        <rFont val="Arial"/>
        <family val="2"/>
      </rPr>
      <t>m</t>
    </r>
    <r>
      <rPr>
        <sz val="10"/>
        <rFont val="Arial"/>
        <family val="2"/>
      </rPr>
      <t>) **Needed** =</t>
    </r>
  </si>
  <si>
    <r>
      <t xml:space="preserve">Thrust Coefficient </t>
    </r>
    <r>
      <rPr>
        <i/>
        <sz val="10"/>
        <rFont val="Arial"/>
        <family val="2"/>
      </rPr>
      <t>(C</t>
    </r>
    <r>
      <rPr>
        <i/>
        <vertAlign val="subscript"/>
        <sz val="10"/>
        <rFont val="Arial"/>
        <family val="2"/>
      </rPr>
      <t>F</t>
    </r>
    <r>
      <rPr>
        <i/>
        <sz val="10"/>
        <rFont val="Arial"/>
        <family val="2"/>
      </rPr>
      <t>)</t>
    </r>
    <r>
      <rPr>
        <sz val="10"/>
        <rFont val="Arial"/>
        <family val="2"/>
      </rPr>
      <t xml:space="preserve"> =</t>
    </r>
  </si>
  <si>
    <r>
      <t>Atomospheric Pressure  (</t>
    </r>
    <r>
      <rPr>
        <i/>
        <sz val="10"/>
        <rFont val="Arial"/>
        <family val="2"/>
      </rPr>
      <t>p</t>
    </r>
    <r>
      <rPr>
        <i/>
        <vertAlign val="subscript"/>
        <sz val="10"/>
        <rFont val="Arial"/>
        <family val="2"/>
      </rPr>
      <t>3</t>
    </r>
    <r>
      <rPr>
        <sz val="10"/>
        <rFont val="Arial"/>
        <family val="2"/>
      </rPr>
      <t>) =</t>
    </r>
  </si>
  <si>
    <r>
      <t xml:space="preserve">Atomospheric Pressure </t>
    </r>
    <r>
      <rPr>
        <i/>
        <sz val="10"/>
        <rFont val="Arial"/>
        <family val="2"/>
      </rPr>
      <t xml:space="preserve"> (p</t>
    </r>
    <r>
      <rPr>
        <i/>
        <vertAlign val="subscript"/>
        <sz val="10"/>
        <rFont val="Arial"/>
        <family val="2"/>
      </rPr>
      <t>3</t>
    </r>
    <r>
      <rPr>
        <i/>
        <sz val="10"/>
        <rFont val="Arial"/>
        <family val="2"/>
      </rPr>
      <t>)</t>
    </r>
    <r>
      <rPr>
        <sz val="10"/>
        <rFont val="Arial"/>
        <family val="2"/>
      </rPr>
      <t xml:space="preserve"> =</t>
    </r>
  </si>
  <si>
    <r>
      <t>in</t>
    </r>
    <r>
      <rPr>
        <vertAlign val="superscript"/>
        <sz val="10"/>
        <rFont val="Arial"/>
        <family val="2"/>
      </rPr>
      <t>2</t>
    </r>
    <r>
      <rPr>
        <sz val="10"/>
        <rFont val="Arial"/>
        <family val="2"/>
      </rPr>
      <t/>
    </r>
  </si>
  <si>
    <r>
      <t>m</t>
    </r>
    <r>
      <rPr>
        <sz val="10"/>
        <rFont val="Arial"/>
        <family val="2"/>
      </rPr>
      <t/>
    </r>
  </si>
  <si>
    <r>
      <t>in</t>
    </r>
    <r>
      <rPr>
        <sz val="10"/>
        <rFont val="Arial"/>
        <family val="2"/>
      </rPr>
      <t/>
    </r>
  </si>
  <si>
    <t>mol</t>
  </si>
  <si>
    <r>
      <rPr>
        <i/>
        <u/>
        <sz val="10"/>
        <color indexed="12"/>
        <rFont val="Arial"/>
        <family val="2"/>
      </rPr>
      <t xml:space="preserve">**Gas Only** </t>
    </r>
    <r>
      <rPr>
        <u/>
        <sz val="10"/>
        <color indexed="12"/>
        <rFont val="Arial"/>
        <family val="2"/>
      </rPr>
      <t>Fuel Specific Heat Ratio (</t>
    </r>
    <r>
      <rPr>
        <i/>
        <u/>
        <sz val="10"/>
        <color indexed="12"/>
        <rFont val="Arial"/>
        <family val="2"/>
      </rPr>
      <t>k</t>
    </r>
    <r>
      <rPr>
        <u/>
        <sz val="10"/>
        <color indexed="12"/>
        <rFont val="Arial"/>
        <family val="2"/>
      </rPr>
      <t>)</t>
    </r>
  </si>
  <si>
    <r>
      <t>**Gas Only** Oxidizer Specific Heat Ratio (</t>
    </r>
    <r>
      <rPr>
        <i/>
        <u/>
        <sz val="10"/>
        <color indexed="12"/>
        <rFont val="Arial"/>
        <family val="2"/>
      </rPr>
      <t>k</t>
    </r>
    <r>
      <rPr>
        <u/>
        <sz val="10"/>
        <color indexed="12"/>
        <rFont val="Arial"/>
        <family val="2"/>
      </rPr>
      <t>)</t>
    </r>
  </si>
  <si>
    <r>
      <t xml:space="preserve">Fuel Feed Pressure </t>
    </r>
    <r>
      <rPr>
        <i/>
        <sz val="10"/>
        <rFont val="Arial"/>
        <family val="2"/>
      </rPr>
      <t>(p</t>
    </r>
    <r>
      <rPr>
        <i/>
        <vertAlign val="subscript"/>
        <sz val="10"/>
        <rFont val="Arial"/>
        <family val="2"/>
      </rPr>
      <t>f</t>
    </r>
    <r>
      <rPr>
        <i/>
        <sz val="10"/>
        <rFont val="Arial"/>
        <family val="2"/>
      </rPr>
      <t>)</t>
    </r>
    <r>
      <rPr>
        <sz val="10"/>
        <rFont val="Arial"/>
        <family val="2"/>
      </rPr>
      <t xml:space="preserve"> =</t>
    </r>
  </si>
  <si>
    <r>
      <t xml:space="preserve">Oxidizer Feed Pressure </t>
    </r>
    <r>
      <rPr>
        <i/>
        <sz val="10"/>
        <rFont val="Arial"/>
        <family val="2"/>
      </rPr>
      <t>(p</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</si>
  <si>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Molecular Mass </t>
    </r>
    <r>
      <rPr>
        <i/>
        <sz val="10"/>
        <rFont val="Arial"/>
        <family val="2"/>
      </rPr>
      <t>(M</t>
    </r>
    <r>
      <rPr>
        <i/>
        <vertAlign val="subscript"/>
        <sz val="10"/>
        <rFont val="Arial"/>
        <family val="2"/>
      </rPr>
      <t>f</t>
    </r>
    <r>
      <rPr>
        <i/>
        <sz val="10"/>
        <rFont val="Arial"/>
        <family val="2"/>
      </rPr>
      <t>)</t>
    </r>
    <r>
      <rPr>
        <sz val="10"/>
        <rFont val="Arial"/>
        <family val="2"/>
      </rPr>
      <t>=</t>
    </r>
  </si>
  <si>
    <r>
      <t>Fuel Orifice Area (</t>
    </r>
    <r>
      <rPr>
        <i/>
        <sz val="10"/>
        <rFont val="Arial"/>
        <family val="2"/>
      </rPr>
      <t>A</t>
    </r>
    <r>
      <rPr>
        <i/>
        <vertAlign val="subscript"/>
        <sz val="10"/>
        <rFont val="Arial"/>
        <family val="2"/>
      </rPr>
      <t>f</t>
    </r>
    <r>
      <rPr>
        <sz val="10"/>
        <rFont val="Arial"/>
        <family val="2"/>
      </rPr>
      <t xml:space="preserve">) = </t>
    </r>
  </si>
  <si>
    <r>
      <t xml:space="preserve">Fuel Orifice Diameter </t>
    </r>
    <r>
      <rPr>
        <sz val="10"/>
        <rFont val="Arial"/>
        <family val="2"/>
      </rPr>
      <t xml:space="preserve">= </t>
    </r>
  </si>
  <si>
    <r>
      <t>Oxidizer Orifice Area (</t>
    </r>
    <r>
      <rPr>
        <i/>
        <sz val="10"/>
        <rFont val="Arial"/>
        <family val="2"/>
      </rPr>
      <t>A</t>
    </r>
    <r>
      <rPr>
        <i/>
        <vertAlign val="subscript"/>
        <sz val="10"/>
        <rFont val="Arial"/>
        <family val="2"/>
      </rPr>
      <t>o</t>
    </r>
    <r>
      <rPr>
        <sz val="10"/>
        <rFont val="Arial"/>
        <family val="2"/>
      </rPr>
      <t xml:space="preserve">) = </t>
    </r>
  </si>
  <si>
    <t xml:space="preserve">Oxidizer Orifice Diameter = </t>
  </si>
  <si>
    <r>
      <rPr>
        <i/>
        <sz val="10"/>
        <rFont val="Arial"/>
        <family val="2"/>
      </rPr>
      <t xml:space="preserve">**Gas Only** </t>
    </r>
    <r>
      <rPr>
        <sz val="10"/>
        <rFont val="Arial"/>
        <family val="2"/>
      </rPr>
      <t xml:space="preserve">Oxidizer Molecular Mass </t>
    </r>
    <r>
      <rPr>
        <i/>
        <sz val="10"/>
        <rFont val="Arial"/>
        <family val="2"/>
      </rPr>
      <t>(M</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</si>
  <si>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Compressability Factor </t>
    </r>
    <r>
      <rPr>
        <i/>
        <sz val="10"/>
        <rFont val="Arial"/>
        <family val="2"/>
      </rPr>
      <t>(Z</t>
    </r>
    <r>
      <rPr>
        <i/>
        <vertAlign val="subscript"/>
        <sz val="10"/>
        <rFont val="Arial"/>
        <family val="2"/>
      </rPr>
      <t>f</t>
    </r>
    <r>
      <rPr>
        <i/>
        <sz val="10"/>
        <rFont val="Arial"/>
        <family val="2"/>
      </rPr>
      <t>)</t>
    </r>
    <r>
      <rPr>
        <sz val="10"/>
        <rFont val="Arial"/>
        <family val="2"/>
      </rPr>
      <t>=</t>
    </r>
  </si>
  <si>
    <r>
      <rPr>
        <i/>
        <sz val="10"/>
        <rFont val="Arial"/>
        <family val="2"/>
      </rPr>
      <t xml:space="preserve">**Gas Only** </t>
    </r>
    <r>
      <rPr>
        <sz val="10"/>
        <rFont val="Arial"/>
        <family val="2"/>
      </rPr>
      <t xml:space="preserve">OxidizerCompressability Factor </t>
    </r>
    <r>
      <rPr>
        <i/>
        <sz val="10"/>
        <rFont val="Arial"/>
        <family val="2"/>
      </rPr>
      <t>(Z</t>
    </r>
    <r>
      <rPr>
        <i/>
        <vertAlign val="subscript"/>
        <sz val="10"/>
        <rFont val="Arial"/>
        <family val="2"/>
      </rPr>
      <t>o</t>
    </r>
    <r>
      <rPr>
        <i/>
        <sz val="10"/>
        <rFont val="Arial"/>
        <family val="2"/>
      </rPr>
      <t>)</t>
    </r>
    <r>
      <rPr>
        <sz val="10"/>
        <rFont val="Arial"/>
        <family val="2"/>
      </rPr>
      <t xml:space="preserve"> =</t>
    </r>
  </si>
  <si>
    <r>
      <rPr>
        <i/>
        <sz val="10"/>
        <rFont val="Arial"/>
        <family val="2"/>
      </rPr>
      <t>**Gas Only**</t>
    </r>
    <r>
      <rPr>
        <sz val="10"/>
        <rFont val="Arial"/>
        <family val="2"/>
      </rPr>
      <t xml:space="preserve"> Fuel Temperature at Injection </t>
    </r>
    <r>
      <rPr>
        <i/>
        <sz val="10"/>
        <rFont val="Arial"/>
        <family val="2"/>
      </rPr>
      <t>(t</t>
    </r>
    <r>
      <rPr>
        <i/>
        <vertAlign val="subscript"/>
        <sz val="10"/>
        <rFont val="Arial"/>
        <family val="2"/>
      </rPr>
      <t>f</t>
    </r>
    <r>
      <rPr>
        <i/>
        <sz val="10"/>
        <rFont val="Arial"/>
        <family val="2"/>
      </rPr>
      <t>)</t>
    </r>
    <r>
      <rPr>
        <sz val="10"/>
        <rFont val="Arial"/>
        <family val="2"/>
      </rPr>
      <t xml:space="preserve"> =</t>
    </r>
  </si>
  <si>
    <r>
      <rPr>
        <i/>
        <sz val="10"/>
        <rFont val="Arial"/>
        <family val="2"/>
      </rPr>
      <t xml:space="preserve">**Gas Only** Oxidizer </t>
    </r>
    <r>
      <rPr>
        <sz val="10"/>
        <rFont val="Arial"/>
        <family val="2"/>
      </rPr>
      <t xml:space="preserve">Temperature at Injection </t>
    </r>
    <r>
      <rPr>
        <i/>
        <sz val="10"/>
        <rFont val="Arial"/>
        <family val="2"/>
      </rPr>
      <t>(t</t>
    </r>
    <r>
      <rPr>
        <i/>
        <vertAlign val="subscript"/>
        <sz val="10"/>
        <rFont val="Arial"/>
        <family val="2"/>
      </rPr>
      <t>o</t>
    </r>
    <r>
      <rPr>
        <i/>
        <sz val="10"/>
        <rFont val="Arial"/>
        <family val="2"/>
      </rPr>
      <t>)</t>
    </r>
    <r>
      <rPr>
        <sz val="10"/>
        <rFont val="Arial"/>
        <family val="2"/>
      </rPr>
      <t xml:space="preserve"> =</t>
    </r>
  </si>
  <si>
    <r>
      <t>Fuel Volumetric Flow Rate (</t>
    </r>
    <r>
      <rPr>
        <i/>
        <sz val="10"/>
        <rFont val="Arial"/>
        <family val="2"/>
      </rPr>
      <t>Q</t>
    </r>
    <r>
      <rPr>
        <i/>
        <vertAlign val="subscript"/>
        <sz val="10"/>
        <rFont val="Arial"/>
        <family val="2"/>
      </rPr>
      <t>f</t>
    </r>
    <r>
      <rPr>
        <sz val="10"/>
        <rFont val="Arial"/>
        <family val="2"/>
      </rPr>
      <t>) =</t>
    </r>
  </si>
  <si>
    <r>
      <rPr>
        <i/>
        <sz val="10"/>
        <rFont val="Arial"/>
        <family val="2"/>
      </rPr>
      <t>**SPECIAL - SEE COMMENT**</t>
    </r>
    <r>
      <rPr>
        <sz val="10"/>
        <rFont val="Arial"/>
        <family val="2"/>
      </rPr>
      <t xml:space="preserve"> Density Fuel </t>
    </r>
    <r>
      <rPr>
        <i/>
        <sz val="10"/>
        <rFont val="Arial"/>
        <family val="2"/>
      </rPr>
      <t>(ρ</t>
    </r>
    <r>
      <rPr>
        <i/>
        <vertAlign val="subscript"/>
        <sz val="10"/>
        <rFont val="Arial"/>
        <family val="2"/>
      </rPr>
      <t>f</t>
    </r>
    <r>
      <rPr>
        <i/>
        <sz val="10"/>
        <rFont val="Arial"/>
        <family val="2"/>
      </rPr>
      <t>)</t>
    </r>
    <r>
      <rPr>
        <sz val="10"/>
        <rFont val="Arial"/>
        <family val="2"/>
      </rPr>
      <t>=</t>
    </r>
  </si>
  <si>
    <r>
      <rPr>
        <i/>
        <sz val="10"/>
        <rFont val="Arial"/>
        <family val="2"/>
      </rPr>
      <t xml:space="preserve">**SPECIAL - SEE COMMENT** </t>
    </r>
    <r>
      <rPr>
        <sz val="10"/>
        <rFont val="Arial"/>
        <family val="2"/>
      </rPr>
      <t xml:space="preserve">Density Oxidizer </t>
    </r>
    <r>
      <rPr>
        <i/>
        <sz val="10"/>
        <rFont val="Arial"/>
        <family val="2"/>
      </rPr>
      <t>(ρ</t>
    </r>
    <r>
      <rPr>
        <i/>
        <vertAlign val="subscript"/>
        <sz val="10"/>
        <rFont val="Arial"/>
        <family val="2"/>
      </rPr>
      <t>o</t>
    </r>
    <r>
      <rPr>
        <i/>
        <sz val="10"/>
        <rFont val="Arial"/>
        <family val="2"/>
      </rPr>
      <t>)</t>
    </r>
    <r>
      <rPr>
        <sz val="10"/>
        <rFont val="Arial"/>
        <family val="2"/>
      </rPr>
      <t>=</t>
    </r>
  </si>
  <si>
    <t>mm</t>
  </si>
  <si>
    <r>
      <rPr>
        <vertAlign val="superscript"/>
        <sz val="10"/>
        <rFont val="Arial"/>
        <family val="2"/>
      </rPr>
      <t>o</t>
    </r>
    <r>
      <rPr>
        <sz val="10"/>
        <rFont val="Arial"/>
        <family val="2"/>
      </rPr>
      <t>R</t>
    </r>
  </si>
  <si>
    <r>
      <rPr>
        <i/>
        <vertAlign val="superscript"/>
        <sz val="10"/>
        <rFont val="Arial"/>
        <family val="2"/>
      </rPr>
      <t>o</t>
    </r>
    <r>
      <rPr>
        <i/>
        <sz val="10"/>
        <rFont val="Arial"/>
        <family val="2"/>
      </rPr>
      <t>R</t>
    </r>
  </si>
  <si>
    <r>
      <t>Btu/lb-</t>
    </r>
    <r>
      <rPr>
        <i/>
        <vertAlign val="superscript"/>
        <sz val="10"/>
        <rFont val="Arial"/>
        <family val="2"/>
      </rPr>
      <t>o</t>
    </r>
    <r>
      <rPr>
        <i/>
        <sz val="10"/>
        <rFont val="Arial"/>
        <family val="2"/>
      </rPr>
      <t>R</t>
    </r>
  </si>
  <si>
    <t>Chamber</t>
  </si>
  <si>
    <t>Throat</t>
  </si>
  <si>
    <t>Exit</t>
  </si>
  <si>
    <r>
      <t>Btu/in</t>
    </r>
    <r>
      <rPr>
        <vertAlign val="superscript"/>
        <sz val="10"/>
        <rFont val="Arial"/>
        <family val="2"/>
      </rPr>
      <t>2</t>
    </r>
    <r>
      <rPr>
        <sz val="10"/>
        <rFont val="Arial"/>
        <family val="2"/>
      </rPr>
      <t>-s-</t>
    </r>
    <r>
      <rPr>
        <vertAlign val="superscript"/>
        <sz val="10"/>
        <rFont val="Arial"/>
        <family val="2"/>
      </rPr>
      <t>o</t>
    </r>
    <r>
      <rPr>
        <sz val="10"/>
        <rFont val="Arial"/>
        <family val="2"/>
      </rPr>
      <t>R</t>
    </r>
  </si>
  <si>
    <r>
      <t>Btu/in</t>
    </r>
    <r>
      <rPr>
        <vertAlign val="superscript"/>
        <sz val="10"/>
        <rFont val="Arial"/>
        <family val="2"/>
      </rPr>
      <t>2</t>
    </r>
    <r>
      <rPr>
        <sz val="10"/>
        <rFont val="Arial"/>
        <family val="2"/>
      </rPr>
      <t>-</t>
    </r>
    <r>
      <rPr>
        <vertAlign val="superscript"/>
        <sz val="10"/>
        <rFont val="Arial"/>
        <family val="2"/>
      </rPr>
      <t>o</t>
    </r>
    <r>
      <rPr>
        <sz val="10"/>
        <rFont val="Arial"/>
        <family val="2"/>
      </rPr>
      <t>F/in</t>
    </r>
  </si>
  <si>
    <t>Btu/s</t>
  </si>
  <si>
    <r>
      <t>Coolent Velocity (V</t>
    </r>
    <r>
      <rPr>
        <i/>
        <vertAlign val="subscript"/>
        <sz val="10"/>
        <rFont val="Arial"/>
        <family val="2"/>
      </rPr>
      <t>co</t>
    </r>
    <r>
      <rPr>
        <i/>
        <sz val="10"/>
        <rFont val="Arial"/>
        <family val="2"/>
      </rPr>
      <t>) =</t>
    </r>
  </si>
  <si>
    <r>
      <t>lb/ft</t>
    </r>
    <r>
      <rPr>
        <i/>
        <vertAlign val="superscript"/>
        <sz val="10"/>
        <rFont val="Arial"/>
        <family val="2"/>
      </rPr>
      <t>3</t>
    </r>
  </si>
  <si>
    <t>ft/sec</t>
  </si>
  <si>
    <t>Constant (C1)=</t>
  </si>
  <si>
    <t>lb/in-s</t>
  </si>
  <si>
    <r>
      <t>Btu/lb-</t>
    </r>
    <r>
      <rPr>
        <i/>
        <vertAlign val="superscript"/>
        <sz val="10"/>
        <rFont val="Arial"/>
        <family val="2"/>
      </rPr>
      <t>o</t>
    </r>
    <r>
      <rPr>
        <i/>
        <sz val="10"/>
        <rFont val="Arial"/>
        <family val="2"/>
      </rPr>
      <t>F</t>
    </r>
  </si>
  <si>
    <r>
      <t>Btu/in</t>
    </r>
    <r>
      <rPr>
        <i/>
        <vertAlign val="superscript"/>
        <sz val="10"/>
        <rFont val="Arial"/>
        <family val="2"/>
      </rPr>
      <t>2</t>
    </r>
    <r>
      <rPr>
        <i/>
        <sz val="10"/>
        <rFont val="Arial"/>
        <family val="2"/>
      </rPr>
      <t>-</t>
    </r>
    <r>
      <rPr>
        <i/>
        <vertAlign val="superscript"/>
        <sz val="10"/>
        <rFont val="Arial"/>
        <family val="2"/>
      </rPr>
      <t>o</t>
    </r>
    <r>
      <rPr>
        <i/>
        <sz val="10"/>
        <rFont val="Arial"/>
        <family val="2"/>
      </rPr>
      <t>F/in</t>
    </r>
  </si>
  <si>
    <r>
      <t xml:space="preserve">Corrected Chamber Temp </t>
    </r>
    <r>
      <rPr>
        <i/>
        <sz val="10"/>
        <rFont val="Arial"/>
        <family val="2"/>
      </rPr>
      <t>(T</t>
    </r>
    <r>
      <rPr>
        <i/>
        <vertAlign val="subscript"/>
        <sz val="10"/>
        <rFont val="Arial"/>
        <family val="2"/>
      </rPr>
      <t>1</t>
    </r>
    <r>
      <rPr>
        <i/>
        <sz val="10"/>
        <rFont val="Arial"/>
        <family val="2"/>
      </rPr>
      <t>)</t>
    </r>
    <r>
      <rPr>
        <sz val="10"/>
        <rFont val="Arial"/>
        <family val="2"/>
      </rPr>
      <t xml:space="preserve"> =</t>
    </r>
  </si>
  <si>
    <r>
      <t xml:space="preserve">c* Correction Factor for Chamber Temp </t>
    </r>
    <r>
      <rPr>
        <i/>
        <sz val="10"/>
        <rFont val="Arial"/>
        <family val="2"/>
      </rPr>
      <t>(n</t>
    </r>
    <r>
      <rPr>
        <i/>
        <vertAlign val="subscript"/>
        <sz val="10"/>
        <rFont val="Arial"/>
        <family val="2"/>
      </rPr>
      <t>t</t>
    </r>
    <r>
      <rPr>
        <i/>
        <sz val="10"/>
        <rFont val="Arial"/>
        <family val="2"/>
      </rPr>
      <t>)</t>
    </r>
    <r>
      <rPr>
        <sz val="10"/>
        <rFont val="Arial"/>
        <family val="2"/>
      </rPr>
      <t>=</t>
    </r>
  </si>
  <si>
    <r>
      <rPr>
        <sz val="10"/>
        <rFont val="Arial"/>
        <family val="2"/>
      </rPr>
      <t xml:space="preserve">Prandtl Number </t>
    </r>
    <r>
      <rPr>
        <i/>
        <sz val="10"/>
        <rFont val="Arial"/>
        <family val="2"/>
      </rPr>
      <t>(Pr) =</t>
    </r>
  </si>
  <si>
    <r>
      <t>µC</t>
    </r>
    <r>
      <rPr>
        <i/>
        <vertAlign val="subscript"/>
        <sz val="10"/>
        <rFont val="Arial"/>
        <family val="2"/>
      </rPr>
      <t>p</t>
    </r>
    <r>
      <rPr>
        <i/>
        <sz val="10"/>
        <rFont val="Arial"/>
        <family val="2"/>
      </rPr>
      <t>/k</t>
    </r>
    <r>
      <rPr>
        <i/>
        <vertAlign val="subscript"/>
        <sz val="10"/>
        <rFont val="Arial"/>
        <family val="2"/>
      </rPr>
      <t>t</t>
    </r>
  </si>
  <si>
    <t>lb/in-sec</t>
  </si>
  <si>
    <r>
      <t xml:space="preserve">Local Mach Number </t>
    </r>
    <r>
      <rPr>
        <i/>
        <sz val="10"/>
        <rFont val="Arial"/>
        <family val="2"/>
      </rPr>
      <t>(M)</t>
    </r>
    <r>
      <rPr>
        <sz val="10"/>
        <rFont val="Arial"/>
        <family val="2"/>
      </rPr>
      <t xml:space="preserve"> =</t>
    </r>
  </si>
  <si>
    <r>
      <t>Gas Side Heat Transfer Coefficient (h</t>
    </r>
    <r>
      <rPr>
        <i/>
        <vertAlign val="subscript"/>
        <sz val="10"/>
        <rFont val="Arial"/>
        <family val="2"/>
      </rPr>
      <t>g</t>
    </r>
    <r>
      <rPr>
        <i/>
        <sz val="10"/>
        <rFont val="Arial"/>
        <family val="2"/>
      </rPr>
      <t>) =</t>
    </r>
  </si>
  <si>
    <r>
      <rPr>
        <sz val="10"/>
        <rFont val="Arial"/>
        <family val="2"/>
      </rPr>
      <t xml:space="preserve">Correction Factor for  property variations across the boundary layer </t>
    </r>
    <r>
      <rPr>
        <i/>
        <sz val="10"/>
        <rFont val="Arial"/>
        <family val="2"/>
      </rPr>
      <t>(σ)=</t>
    </r>
  </si>
  <si>
    <r>
      <rPr>
        <sz val="10"/>
        <rFont val="Arial"/>
        <family val="2"/>
      </rPr>
      <t>Adiabatic Wall Temperature of the gas</t>
    </r>
    <r>
      <rPr>
        <i/>
        <sz val="10"/>
        <rFont val="Arial"/>
        <family val="2"/>
      </rPr>
      <t xml:space="preserve"> (T</t>
    </r>
    <r>
      <rPr>
        <i/>
        <vertAlign val="subscript"/>
        <sz val="10"/>
        <rFont val="Arial"/>
        <family val="2"/>
      </rPr>
      <t>aw</t>
    </r>
    <r>
      <rPr>
        <i/>
        <sz val="10"/>
        <rFont val="Arial"/>
        <family val="2"/>
      </rPr>
      <t>) =</t>
    </r>
  </si>
  <si>
    <r>
      <rPr>
        <sz val="10"/>
        <rFont val="Arial"/>
        <family val="2"/>
      </rPr>
      <t>*Estimated* Effective Recovery Factor</t>
    </r>
    <r>
      <rPr>
        <i/>
        <sz val="10"/>
        <rFont val="Arial"/>
        <family val="2"/>
      </rPr>
      <t xml:space="preserve"> (R) =</t>
    </r>
  </si>
  <si>
    <r>
      <rPr>
        <sz val="10"/>
        <rFont val="Arial"/>
        <family val="2"/>
      </rPr>
      <t>Allowable Hot-gas-side local chamber wall temp</t>
    </r>
    <r>
      <rPr>
        <i/>
        <sz val="10"/>
        <rFont val="Arial"/>
        <family val="2"/>
      </rPr>
      <t xml:space="preserve"> (T</t>
    </r>
    <r>
      <rPr>
        <i/>
        <vertAlign val="subscript"/>
        <sz val="10"/>
        <rFont val="Arial"/>
        <family val="2"/>
      </rPr>
      <t>wg</t>
    </r>
    <r>
      <rPr>
        <i/>
        <sz val="10"/>
        <rFont val="Arial"/>
        <family val="2"/>
      </rPr>
      <t>) =</t>
    </r>
  </si>
  <si>
    <r>
      <rPr>
        <sz val="10"/>
        <rFont val="Arial"/>
        <family val="2"/>
      </rPr>
      <t xml:space="preserve">Thermal Conductivity of Wall Material </t>
    </r>
    <r>
      <rPr>
        <i/>
        <sz val="10"/>
        <rFont val="Arial"/>
        <family val="2"/>
      </rPr>
      <t>(k) =</t>
    </r>
  </si>
  <si>
    <r>
      <rPr>
        <sz val="10"/>
        <rFont val="Arial"/>
        <family val="2"/>
      </rPr>
      <t>Number of Tubes</t>
    </r>
    <r>
      <rPr>
        <i/>
        <sz val="10"/>
        <rFont val="Arial"/>
        <family val="2"/>
      </rPr>
      <t xml:space="preserve"> (N) =</t>
    </r>
  </si>
  <si>
    <r>
      <rPr>
        <sz val="10"/>
        <rFont val="Arial"/>
        <family val="2"/>
      </rPr>
      <t>Max Coolent Capacticy</t>
    </r>
    <r>
      <rPr>
        <i/>
        <sz val="10"/>
        <rFont val="Arial"/>
        <family val="2"/>
      </rPr>
      <t xml:space="preserve"> (Qmax) =</t>
    </r>
  </si>
  <si>
    <r>
      <rPr>
        <sz val="10"/>
        <rFont val="Arial"/>
        <family val="2"/>
      </rPr>
      <t>Acutal Heat Transferred to the Coolent Capacticy</t>
    </r>
    <r>
      <rPr>
        <i/>
        <sz val="10"/>
        <rFont val="Arial"/>
        <family val="2"/>
      </rPr>
      <t xml:space="preserve"> (Q</t>
    </r>
    <r>
      <rPr>
        <i/>
        <vertAlign val="subscript"/>
        <sz val="10"/>
        <rFont val="Arial"/>
        <family val="2"/>
      </rPr>
      <t>actual</t>
    </r>
    <r>
      <rPr>
        <i/>
        <sz val="10"/>
        <rFont val="Arial"/>
        <family val="2"/>
      </rPr>
      <t>) =</t>
    </r>
  </si>
  <si>
    <r>
      <t>Bulk Temperature increase of Coolent after passing through the cooling jacket (T</t>
    </r>
    <r>
      <rPr>
        <vertAlign val="subscript"/>
        <sz val="10"/>
        <rFont val="Arial"/>
        <family val="2"/>
      </rPr>
      <t>increase</t>
    </r>
    <r>
      <rPr>
        <sz val="10"/>
        <rFont val="Arial"/>
        <family val="2"/>
      </rPr>
      <t>) =</t>
    </r>
  </si>
  <si>
    <t>*Actual* Characteristic Velocity (c*) =</t>
  </si>
  <si>
    <t>C*-Efficiency =</t>
  </si>
  <si>
    <r>
      <rPr>
        <sz val="10"/>
        <rFont val="Arial"/>
        <family val="2"/>
      </rPr>
      <t xml:space="preserve">Coolent Wall Temp </t>
    </r>
    <r>
      <rPr>
        <i/>
        <sz val="10"/>
        <rFont val="Arial"/>
        <family val="2"/>
      </rPr>
      <t>(T</t>
    </r>
    <r>
      <rPr>
        <i/>
        <vertAlign val="subscript"/>
        <sz val="10"/>
        <rFont val="Arial"/>
        <family val="2"/>
      </rPr>
      <t>wc</t>
    </r>
    <r>
      <rPr>
        <i/>
        <sz val="10"/>
        <rFont val="Arial"/>
        <family val="2"/>
      </rPr>
      <t>) =</t>
    </r>
  </si>
  <si>
    <r>
      <t>Gas Constant (</t>
    </r>
    <r>
      <rPr>
        <i/>
        <sz val="10"/>
        <rFont val="Arial"/>
        <family val="2"/>
      </rPr>
      <t>R</t>
    </r>
    <r>
      <rPr>
        <sz val="10"/>
        <rFont val="Arial"/>
        <family val="2"/>
      </rPr>
      <t xml:space="preserve">) </t>
    </r>
    <r>
      <rPr>
        <sz val="10"/>
        <rFont val="Arial"/>
        <family val="2"/>
      </rPr>
      <t>=</t>
    </r>
  </si>
  <si>
    <r>
      <rPr>
        <sz val="10"/>
        <rFont val="Arial"/>
        <family val="2"/>
      </rPr>
      <t xml:space="preserve">Coolent tubes distance (thickness) from chamber wall </t>
    </r>
    <r>
      <rPr>
        <i/>
        <sz val="10"/>
        <rFont val="Arial"/>
        <family val="2"/>
      </rPr>
      <t>(t) =</t>
    </r>
  </si>
  <si>
    <t>Molecular Mass of Propellant Mixture (M) =</t>
  </si>
  <si>
    <r>
      <rPr>
        <sz val="10"/>
        <rFont val="Arial"/>
        <family val="2"/>
      </rPr>
      <t xml:space="preserve">*Calculated* Gas Viscosity </t>
    </r>
    <r>
      <rPr>
        <i/>
        <sz val="10"/>
        <rFont val="Arial"/>
        <family val="2"/>
      </rPr>
      <t>(µ) =</t>
    </r>
  </si>
  <si>
    <t>Gas Side Wall Temp / Corrected Chamber Temp Ratio =</t>
  </si>
  <si>
    <r>
      <t>in</t>
    </r>
    <r>
      <rPr>
        <i/>
        <vertAlign val="superscript"/>
        <sz val="10"/>
        <rFont val="Arial"/>
        <family val="2"/>
      </rPr>
      <t>2</t>
    </r>
  </si>
  <si>
    <t>Combustion Chamber Surface Area =</t>
  </si>
  <si>
    <r>
      <rPr>
        <sz val="10"/>
        <rFont val="Arial"/>
        <family val="2"/>
      </rPr>
      <t xml:space="preserve">Coolent Side Heat Transfer Coefficent </t>
    </r>
    <r>
      <rPr>
        <i/>
        <sz val="10"/>
        <rFont val="Arial"/>
        <family val="2"/>
      </rPr>
      <t>(h</t>
    </r>
    <r>
      <rPr>
        <i/>
        <vertAlign val="subscript"/>
        <sz val="10"/>
        <rFont val="Arial"/>
        <family val="2"/>
      </rPr>
      <t>c</t>
    </r>
    <r>
      <rPr>
        <i/>
        <sz val="10"/>
        <rFont val="Arial"/>
        <family val="2"/>
      </rPr>
      <t>)=</t>
    </r>
  </si>
  <si>
    <r>
      <rPr>
        <i/>
        <vertAlign val="superscript"/>
        <sz val="10"/>
        <rFont val="Arial"/>
        <family val="2"/>
      </rPr>
      <t>o</t>
    </r>
    <r>
      <rPr>
        <i/>
        <sz val="10"/>
        <rFont val="Arial"/>
        <family val="2"/>
      </rPr>
      <t>K</t>
    </r>
  </si>
  <si>
    <r>
      <t>Coolent Temp after leaving the cooling jacket (T</t>
    </r>
    <r>
      <rPr>
        <vertAlign val="subscript"/>
        <sz val="10"/>
        <rFont val="Arial"/>
        <family val="2"/>
      </rPr>
      <t>exit</t>
    </r>
    <r>
      <rPr>
        <sz val="10"/>
        <rFont val="Arial"/>
        <family val="2"/>
      </rPr>
      <t>) =</t>
    </r>
  </si>
  <si>
    <r>
      <rPr>
        <sz val="10"/>
        <rFont val="Arial"/>
        <family val="2"/>
      </rPr>
      <t xml:space="preserve">Coolent Temp Entering Coolent Jacket </t>
    </r>
    <r>
      <rPr>
        <i/>
        <sz val="10"/>
        <rFont val="Arial"/>
        <family val="2"/>
      </rPr>
      <t>(T</t>
    </r>
    <r>
      <rPr>
        <i/>
        <vertAlign val="subscript"/>
        <sz val="10"/>
        <rFont val="Arial"/>
        <family val="2"/>
      </rPr>
      <t>co</t>
    </r>
    <r>
      <rPr>
        <i/>
        <sz val="10"/>
        <rFont val="Arial"/>
        <family val="2"/>
      </rPr>
      <t>) =</t>
    </r>
  </si>
  <si>
    <r>
      <t>Fuel/Oxidizer Specific Heat Ratio (</t>
    </r>
    <r>
      <rPr>
        <i/>
        <u/>
        <sz val="10"/>
        <color indexed="12"/>
        <rFont val="Arial"/>
        <family val="2"/>
      </rPr>
      <t>k</t>
    </r>
    <r>
      <rPr>
        <u/>
        <sz val="10"/>
        <color indexed="12"/>
        <rFont val="Arial"/>
        <family val="2"/>
      </rPr>
      <t xml:space="preserve">) </t>
    </r>
  </si>
  <si>
    <r>
      <t>Chamber Temperature (</t>
    </r>
    <r>
      <rPr>
        <i/>
        <sz val="10"/>
        <rFont val="Arial"/>
        <family val="2"/>
      </rPr>
      <t>T</t>
    </r>
    <r>
      <rPr>
        <i/>
        <vertAlign val="subscript"/>
        <sz val="10"/>
        <rFont val="Arial"/>
        <family val="2"/>
      </rPr>
      <t>1</t>
    </r>
    <r>
      <rPr>
        <sz val="10"/>
        <rFont val="Arial"/>
        <family val="2"/>
      </rPr>
      <t xml:space="preserve">) = </t>
    </r>
  </si>
  <si>
    <r>
      <t>Nozzle Inlet/Chamber Pressure (</t>
    </r>
    <r>
      <rPr>
        <i/>
        <sz val="10"/>
        <rFont val="Arial"/>
        <family val="2"/>
      </rPr>
      <t>p</t>
    </r>
    <r>
      <rPr>
        <i/>
        <vertAlign val="subscript"/>
        <sz val="10"/>
        <rFont val="Arial"/>
        <family val="2"/>
      </rPr>
      <t>1</t>
    </r>
    <r>
      <rPr>
        <sz val="10"/>
        <rFont val="Arial"/>
        <family val="2"/>
      </rPr>
      <t xml:space="preserve">) = </t>
    </r>
  </si>
  <si>
    <r>
      <t>Nozzle Area Ratio (</t>
    </r>
    <r>
      <rPr>
        <i/>
        <sz val="10"/>
        <rFont val="Arial"/>
        <family val="2"/>
      </rPr>
      <t>A</t>
    </r>
    <r>
      <rPr>
        <i/>
        <vertAlign val="subscript"/>
        <sz val="10"/>
        <rFont val="Arial"/>
        <family val="2"/>
      </rPr>
      <t>t</t>
    </r>
    <r>
      <rPr>
        <i/>
        <sz val="10"/>
        <rFont val="Arial"/>
        <family val="2"/>
      </rPr>
      <t>/A</t>
    </r>
    <r>
      <rPr>
        <i/>
        <vertAlign val="subscript"/>
        <sz val="10"/>
        <rFont val="Arial"/>
        <family val="2"/>
      </rPr>
      <t>2</t>
    </r>
    <r>
      <rPr>
        <sz val="10"/>
        <rFont val="Arial"/>
        <family val="2"/>
      </rPr>
      <t xml:space="preserve">) = </t>
    </r>
  </si>
  <si>
    <t xml:space="preserve">Nozzle Throat Area = </t>
  </si>
  <si>
    <t xml:space="preserve">Nozzle Throat Diameter = </t>
  </si>
  <si>
    <r>
      <t>Propellent Mass Flow Rate Fuel (</t>
    </r>
    <r>
      <rPr>
        <i/>
        <sz val="10"/>
        <rFont val="Arial"/>
        <family val="2"/>
      </rPr>
      <t>m</t>
    </r>
    <r>
      <rPr>
        <i/>
        <vertAlign val="subscript"/>
        <sz val="10"/>
        <rFont val="Arial"/>
        <family val="2"/>
      </rPr>
      <t>f</t>
    </r>
    <r>
      <rPr>
        <sz val="10"/>
        <rFont val="Arial"/>
        <family val="2"/>
      </rPr>
      <t xml:space="preserve">) = </t>
    </r>
  </si>
  <si>
    <r>
      <rPr>
        <b/>
        <sz val="10"/>
        <rFont val="Arial"/>
        <family val="2"/>
      </rPr>
      <t xml:space="preserve">Instructions: </t>
    </r>
    <r>
      <rPr>
        <sz val="10"/>
        <rFont val="Arial"/>
        <family val="2"/>
      </rPr>
      <t xml:space="preserve">This advanced equation takes a number of bipropellant liquid engine inputs and models a variety of outputs  including: velocity, altitude, acceleration, nozzle dimensions, and heat-transfer. All input data should be filled in the yellow boxes. Anything in grey will be calculated automatically and green values are key outputs also calculated automatically. The charts will also update automatically. </t>
    </r>
    <r>
      <rPr>
        <i/>
        <sz val="10"/>
        <rFont val="Arial"/>
        <family val="2"/>
      </rPr>
      <t>Note that thermal conductivity calculations do not consider carbon deposits or nucleate boiling</t>
    </r>
  </si>
  <si>
    <t>*Estimated* Characteristic Velocity (c*) =</t>
  </si>
  <si>
    <t>y-tube-top-upper</t>
  </si>
  <si>
    <t>y-tube-top-lower</t>
  </si>
  <si>
    <t>y-tube-bottom-upper</t>
  </si>
  <si>
    <t>y-tube-bottom-lower</t>
  </si>
  <si>
    <r>
      <t>Specific Heat of Gas (C</t>
    </r>
    <r>
      <rPr>
        <vertAlign val="subscript"/>
        <sz val="10"/>
        <rFont val="Arial"/>
        <family val="2"/>
      </rPr>
      <t>p</t>
    </r>
    <r>
      <rPr>
        <sz val="10"/>
        <rFont val="Arial"/>
        <family val="2"/>
      </rPr>
      <t xml:space="preserve">)= </t>
    </r>
  </si>
  <si>
    <r>
      <t>Oxidizer Volumetric Flow Rate (</t>
    </r>
    <r>
      <rPr>
        <i/>
        <sz val="10"/>
        <rFont val="Arial"/>
        <family val="2"/>
      </rPr>
      <t>Q</t>
    </r>
    <r>
      <rPr>
        <i/>
        <vertAlign val="subscript"/>
        <sz val="10"/>
        <rFont val="Arial"/>
        <family val="2"/>
      </rPr>
      <t>o</t>
    </r>
    <r>
      <rPr>
        <sz val="10"/>
        <rFont val="Arial"/>
        <family val="2"/>
      </rPr>
      <t>) =</t>
    </r>
  </si>
  <si>
    <t>Gas Side Heat Transfer (eg. heat flux) (q) =</t>
  </si>
  <si>
    <r>
      <t xml:space="preserve">Gas Side Heat Transfer (eg. heat flux) </t>
    </r>
    <r>
      <rPr>
        <i/>
        <sz val="10"/>
        <rFont val="Arial"/>
        <family val="2"/>
      </rPr>
      <t>(q)</t>
    </r>
    <r>
      <rPr>
        <sz val="10"/>
        <rFont val="Arial"/>
        <family val="2"/>
      </rPr>
      <t xml:space="preserve"> =</t>
    </r>
  </si>
  <si>
    <r>
      <rPr>
        <sz val="10"/>
        <rFont val="Arial"/>
        <family val="2"/>
      </rPr>
      <t xml:space="preserve">*Experimental* Coolant Viscosity at bulk temp </t>
    </r>
    <r>
      <rPr>
        <i/>
        <sz val="10"/>
        <rFont val="Arial"/>
        <family val="2"/>
      </rPr>
      <t>(µ) =</t>
    </r>
  </si>
  <si>
    <r>
      <rPr>
        <sz val="10"/>
        <rFont val="Arial"/>
        <family val="2"/>
      </rPr>
      <t>*Experimental * Coolant Viscosity at sidewall temp</t>
    </r>
    <r>
      <rPr>
        <i/>
        <sz val="10"/>
        <rFont val="Arial"/>
        <family val="2"/>
      </rPr>
      <t xml:space="preserve"> (µ</t>
    </r>
    <r>
      <rPr>
        <i/>
        <vertAlign val="subscript"/>
        <sz val="10"/>
        <rFont val="Arial"/>
        <family val="2"/>
      </rPr>
      <t>w</t>
    </r>
    <r>
      <rPr>
        <i/>
        <sz val="10"/>
        <rFont val="Arial"/>
        <family val="2"/>
      </rPr>
      <t>) =</t>
    </r>
  </si>
  <si>
    <r>
      <rPr>
        <sz val="10"/>
        <rFont val="Arial"/>
        <family val="2"/>
      </rPr>
      <t xml:space="preserve">*Experimental* Coolant Specific Heat </t>
    </r>
    <r>
      <rPr>
        <i/>
        <sz val="10"/>
        <rFont val="Arial"/>
        <family val="2"/>
      </rPr>
      <t>(C</t>
    </r>
    <r>
      <rPr>
        <i/>
        <vertAlign val="subscript"/>
        <sz val="10"/>
        <rFont val="Arial"/>
        <family val="2"/>
      </rPr>
      <t>cp</t>
    </r>
    <r>
      <rPr>
        <i/>
        <sz val="10"/>
        <rFont val="Arial"/>
        <family val="2"/>
      </rPr>
      <t>) =</t>
    </r>
  </si>
  <si>
    <r>
      <rPr>
        <sz val="10"/>
        <rFont val="Arial"/>
        <family val="2"/>
      </rPr>
      <t>*Experimental* Coolant Thermal Conductivity</t>
    </r>
    <r>
      <rPr>
        <i/>
        <sz val="10"/>
        <rFont val="Arial"/>
        <family val="2"/>
      </rPr>
      <t xml:space="preserve"> (k) =</t>
    </r>
  </si>
  <si>
    <r>
      <rPr>
        <sz val="10"/>
        <rFont val="Arial"/>
        <family val="2"/>
      </rPr>
      <t>Density of Coolant</t>
    </r>
    <r>
      <rPr>
        <i/>
        <sz val="10"/>
        <rFont val="Arial"/>
        <family val="2"/>
      </rPr>
      <t xml:space="preserve"> (ρ) =</t>
    </r>
  </si>
  <si>
    <r>
      <rPr>
        <sz val="10"/>
        <rFont val="Arial"/>
        <family val="2"/>
      </rPr>
      <t>Coolant Critical Temperature</t>
    </r>
    <r>
      <rPr>
        <i/>
        <sz val="10"/>
        <rFont val="Arial"/>
        <family val="2"/>
      </rPr>
      <t xml:space="preserve"> (T</t>
    </r>
    <r>
      <rPr>
        <i/>
        <vertAlign val="subscript"/>
        <sz val="10"/>
        <rFont val="Arial"/>
        <family val="2"/>
      </rPr>
      <t>cc</t>
    </r>
    <r>
      <rPr>
        <i/>
        <sz val="10"/>
        <rFont val="Arial"/>
        <family val="2"/>
      </rPr>
      <t>) =</t>
    </r>
  </si>
  <si>
    <t>kW</t>
  </si>
  <si>
    <r>
      <t>kW/m</t>
    </r>
    <r>
      <rPr>
        <vertAlign val="superscript"/>
        <sz val="10"/>
        <rFont val="Arial"/>
        <family val="2"/>
      </rPr>
      <t>2</t>
    </r>
    <r>
      <rPr>
        <sz val="10"/>
        <rFont val="Arial"/>
        <family val="2"/>
      </rPr>
      <t>-K</t>
    </r>
  </si>
  <si>
    <r>
      <rPr>
        <sz val="10"/>
        <rFont val="Arial"/>
        <family val="2"/>
      </rPr>
      <t>Coolent Tube Area</t>
    </r>
    <r>
      <rPr>
        <i/>
        <sz val="10"/>
        <rFont val="Arial"/>
        <family val="2"/>
      </rPr>
      <t xml:space="preserve"> (a) =</t>
    </r>
  </si>
  <si>
    <t>W/m/K</t>
  </si>
  <si>
    <t>Coolant Tube Diameter Derived from Sieder Tate (d)</t>
  </si>
  <si>
    <r>
      <t>mm</t>
    </r>
    <r>
      <rPr>
        <i/>
        <vertAlign val="superscript"/>
        <sz val="10"/>
        <rFont val="Arial"/>
        <family val="2"/>
      </rPr>
      <t>2</t>
    </r>
  </si>
  <si>
    <r>
      <t>Btu/in</t>
    </r>
    <r>
      <rPr>
        <vertAlign val="superscript"/>
        <sz val="10"/>
        <rFont val="Arial"/>
        <family val="2"/>
      </rPr>
      <t>2</t>
    </r>
    <r>
      <rPr>
        <sz val="10"/>
        <rFont val="Arial"/>
        <family val="2"/>
      </rPr>
      <t>-s</t>
    </r>
  </si>
  <si>
    <r>
      <t>kW/m</t>
    </r>
    <r>
      <rPr>
        <vertAlign val="superscript"/>
        <sz val="10"/>
        <rFont val="Arial"/>
        <family val="2"/>
      </rPr>
      <t>2</t>
    </r>
  </si>
  <si>
    <t xml:space="preserve">  kJ/(kg·K)</t>
  </si>
  <si>
    <t>kg/(m·sec)</t>
  </si>
  <si>
    <t>Thermal Conductivity of the Gas (k) =</t>
  </si>
  <si>
    <t>W/(m·K)</t>
  </si>
  <si>
    <t>kJ/(kg·K)</t>
  </si>
  <si>
    <t>psia</t>
  </si>
  <si>
    <r>
      <t>Fuel Coefficient of Discharge (</t>
    </r>
    <r>
      <rPr>
        <i/>
        <sz val="10"/>
        <rFont val="Arial"/>
        <family val="2"/>
      </rPr>
      <t>C</t>
    </r>
    <r>
      <rPr>
        <i/>
        <vertAlign val="subscript"/>
        <sz val="10"/>
        <rFont val="Arial"/>
        <family val="2"/>
      </rPr>
      <t>d</t>
    </r>
    <r>
      <rPr>
        <sz val="10"/>
        <rFont val="Arial"/>
        <family val="2"/>
      </rPr>
      <t xml:space="preserve">) = </t>
    </r>
  </si>
  <si>
    <r>
      <t>Oxidizer Coefficient of Discharge (</t>
    </r>
    <r>
      <rPr>
        <i/>
        <sz val="10"/>
        <rFont val="Arial"/>
        <family val="2"/>
      </rPr>
      <t>C</t>
    </r>
    <r>
      <rPr>
        <i/>
        <vertAlign val="subscript"/>
        <sz val="10"/>
        <rFont val="Arial"/>
        <family val="2"/>
      </rPr>
      <t>d</t>
    </r>
    <r>
      <rPr>
        <sz val="10"/>
        <rFont val="Arial"/>
        <family val="2"/>
      </rPr>
      <t xml:space="preserve">) = </t>
    </r>
  </si>
  <si>
    <t>overall length =</t>
  </si>
  <si>
    <t>throat start point =</t>
  </si>
  <si>
    <t>throat end point =</t>
  </si>
  <si>
    <t>chamber internal diameter =</t>
  </si>
  <si>
    <t>chamber external diameter =</t>
  </si>
  <si>
    <t>divergence tap length =</t>
  </si>
  <si>
    <t>throat external thread type =</t>
  </si>
  <si>
    <t>Orifice locations along chamber:</t>
  </si>
  <si>
    <t>Igniter Dimmensions (excluding cap):</t>
  </si>
  <si>
    <t>1/8"-27</t>
  </si>
  <si>
    <t>NPT</t>
  </si>
  <si>
    <t>inches (Type R drill)</t>
  </si>
  <si>
    <t>fuel/ox/pressure thread diameter</t>
  </si>
  <si>
    <t>fuel/oxpressure thread type</t>
  </si>
  <si>
    <t>pressure orifice location</t>
  </si>
  <si>
    <t>igniter thread diameter</t>
  </si>
  <si>
    <t>igniter thread type</t>
  </si>
  <si>
    <t>M10x1</t>
  </si>
  <si>
    <t>igniter thread depth</t>
  </si>
  <si>
    <r>
      <rPr>
        <i/>
        <sz val="10"/>
        <rFont val="Arial"/>
        <family val="2"/>
      </rPr>
      <t>**Gas Only**</t>
    </r>
    <r>
      <rPr>
        <sz val="10"/>
        <rFont val="Arial"/>
        <family val="2"/>
      </rPr>
      <t xml:space="preserve"> Fuel Choked Flow Critical Value</t>
    </r>
    <r>
      <rPr>
        <i/>
        <sz val="10"/>
        <rFont val="Arial"/>
        <family val="2"/>
      </rPr>
      <t>(p*)</t>
    </r>
    <r>
      <rPr>
        <sz val="10"/>
        <rFont val="Arial"/>
        <family val="2"/>
      </rPr>
      <t>=</t>
    </r>
  </si>
  <si>
    <r>
      <t>*p</t>
    </r>
    <r>
      <rPr>
        <i/>
        <vertAlign val="subscript"/>
        <sz val="10"/>
        <rFont val="Arial"/>
        <family val="2"/>
      </rPr>
      <t>1</t>
    </r>
  </si>
  <si>
    <r>
      <rPr>
        <i/>
        <sz val="10"/>
        <rFont val="Arial"/>
        <family val="2"/>
      </rPr>
      <t>**Gas Only**</t>
    </r>
    <r>
      <rPr>
        <sz val="10"/>
        <rFont val="Arial"/>
        <family val="2"/>
      </rPr>
      <t xml:space="preserve"> Oxidizer Choked Flow Critical Value</t>
    </r>
    <r>
      <rPr>
        <i/>
        <sz val="10"/>
        <rFont val="Arial"/>
        <family val="2"/>
      </rPr>
      <t>(p*)</t>
    </r>
    <r>
      <rPr>
        <sz val="10"/>
        <rFont val="Arial"/>
        <family val="2"/>
      </rPr>
      <t>=</t>
    </r>
  </si>
  <si>
    <t>**Gas Only** Fuel Minimum Choked Flow psia =</t>
  </si>
  <si>
    <t>**Gas Only** Oxidizer Minimum Choked Flow psia =</t>
  </si>
  <si>
    <r>
      <rPr>
        <i/>
        <sz val="10"/>
        <rFont val="Arial"/>
        <family val="2"/>
      </rPr>
      <t>**Gas Only**</t>
    </r>
    <r>
      <rPr>
        <sz val="10"/>
        <rFont val="Arial"/>
        <family val="2"/>
      </rPr>
      <t xml:space="preserve"> Fuel is Flow Choked? =</t>
    </r>
  </si>
  <si>
    <r>
      <rPr>
        <i/>
        <sz val="10"/>
        <rFont val="Arial"/>
        <family val="2"/>
      </rPr>
      <t>**Gas Only**</t>
    </r>
    <r>
      <rPr>
        <sz val="10"/>
        <rFont val="Arial"/>
        <family val="2"/>
      </rPr>
      <t xml:space="preserve"> Oxidizer is Flow Choked? =</t>
    </r>
  </si>
  <si>
    <t>chamber length =</t>
  </si>
  <si>
    <t xml:space="preserve">throat exit point = </t>
  </si>
  <si>
    <t>throat internal diameter =</t>
  </si>
  <si>
    <t>throat external diameter =</t>
  </si>
  <si>
    <t xml:space="preserve">exit internal diameter = </t>
  </si>
  <si>
    <t>"7/16-20"</t>
  </si>
  <si>
    <r>
      <t>Specific Impulse (</t>
    </r>
    <r>
      <rPr>
        <b/>
        <i/>
        <sz val="10"/>
        <rFont val="Arial"/>
        <family val="2"/>
      </rPr>
      <t>I</t>
    </r>
    <r>
      <rPr>
        <b/>
        <i/>
        <vertAlign val="subscript"/>
        <sz val="10"/>
        <rFont val="Arial"/>
        <family val="2"/>
      </rPr>
      <t>s</t>
    </r>
    <r>
      <rPr>
        <b/>
        <sz val="10"/>
        <rFont val="Arial"/>
        <family val="2"/>
      </rPr>
      <t>)=</t>
    </r>
  </si>
  <si>
    <t>GOX/Ethanol Igniter v3 Properties</t>
  </si>
  <si>
    <t>divergence tap end point =</t>
  </si>
  <si>
    <t>O-Ring Support</t>
  </si>
  <si>
    <t>diameter</t>
  </si>
  <si>
    <t>start position =</t>
  </si>
  <si>
    <t>end position =</t>
  </si>
  <si>
    <t>fuel/ox orifice locations</t>
  </si>
  <si>
    <t>divergence tap start point =</t>
  </si>
  <si>
    <t>tap external diameter =</t>
  </si>
  <si>
    <t>igniter orifice location</t>
  </si>
  <si>
    <t>igniter flange outer diameter</t>
  </si>
  <si>
    <t>igniter narrow outer diameter</t>
  </si>
  <si>
    <t>igniter flange depth</t>
  </si>
  <si>
    <t>output psi</t>
  </si>
  <si>
    <t>gas choked</t>
  </si>
  <si>
    <t>gas non-choked</t>
  </si>
  <si>
    <t>gas is choked?</t>
  </si>
  <si>
    <t>gas (cumulative)</t>
  </si>
  <si>
    <t>liquid</t>
  </si>
  <si>
    <t>total mass flow</t>
  </si>
  <si>
    <t>O/F Ratio</t>
  </si>
  <si>
    <t>Design Gas Flow</t>
  </si>
  <si>
    <t>Design Liquid Flow</t>
  </si>
  <si>
    <t>Design total mass flow</t>
  </si>
  <si>
    <t>Design O/F 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</si>
</sst>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164" formatCode="_ * #,##0.00_)\ _$_ ;_ * \(#,##0.00\)\ _$_ ;_ * &quot;-&quot;??_)\ _$_ ;_ @_ "/>
    <numFmt numFmtId="165" formatCode="#,##0.000"/>
    <numFmt numFmtId="166" formatCode="0.0000"/>
    <numFmt numFmtId="167" formatCode="#,##0.0000"/>
    <numFmt numFmtId="168" formatCode="#,##0.00000000"/>
    <numFmt numFmtId="169" formatCode="0.00000000"/>
    <numFmt numFmtId="170" formatCode="0.000000%"/>
    <numFmt numFmtId="171" formatCode="0.000000"/>
    <numFmt numFmtId="172" formatCode="#,##0.00000"/>
    <numFmt numFmtId="173" formatCode="#,##0.000000"/>
    <numFmt numFmtId="174" formatCode="#,##0.0000000"/>
    <numFmt numFmtId="175" formatCode="0.00000"/>
    <numFmt numFmtId="176" formatCode="0.000000000"/>
    <numFmt numFmtId="177" formatCode="0.000000000000000"/>
    <numFmt numFmtId="178" formatCode="0.0000000000"/>
    <numFmt numFmtId="179" formatCode="0.00000000000"/>
    <numFmt numFmtId="180" formatCode="#,##0.000000000"/>
    <numFmt numFmtId="181" formatCode="0.00000000000000"/>
    <numFmt numFmtId="182" formatCode="0.000"/>
    <numFmt numFmtId="183" formatCode="#,##0.000000000000000"/>
    <numFmt numFmtId="184" formatCode="#,##0.0000000000000"/>
    <numFmt numFmtId="185" formatCode="0.0%"/>
  </numFmts>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vertAlign val="subscript"/>
      <sz val="10"/>
      <name val="Arial"/>
      <family val="2"/>
    </font>
    <font>
      <b/>
      <sz val="14"/>
      <name val="Arial"/>
      <family val="2"/>
    </font>
    <font>
      <sz val="8"/>
      <color indexed="81"/>
      <name val="Tahoma"/>
      <family val="2"/>
    </font>
    <font>
      <b/>
      <sz val="8"/>
      <color indexed="81"/>
      <name val="Tahoma"/>
      <family val="2"/>
    </font>
    <font>
      <u/>
      <sz val="10"/>
      <color indexed="12"/>
      <name val="Arial"/>
      <family val="2"/>
    </font>
    <font>
      <i/>
      <sz val="10"/>
      <name val="Arial"/>
      <family val="2"/>
    </font>
    <font>
      <i/>
      <sz val="12"/>
      <name val="Arial"/>
      <family val="2"/>
    </font>
    <font>
      <i/>
      <vertAlign val="subscript"/>
      <sz val="10"/>
      <name val="Arial"/>
      <family val="2"/>
    </font>
    <font>
      <vertAlign val="superscript"/>
      <sz val="10"/>
      <name val="Arial"/>
      <family val="2"/>
    </font>
    <font>
      <sz val="10"/>
      <name val="Arial"/>
      <family val="2"/>
    </font>
    <font>
      <i/>
      <u/>
      <sz val="10"/>
      <color indexed="12"/>
      <name val="Arial"/>
      <family val="2"/>
    </font>
    <font>
      <b/>
      <sz val="10"/>
      <name val="Arial"/>
      <family val="2"/>
    </font>
    <font>
      <u/>
      <sz val="10"/>
      <color indexed="12"/>
      <name val="Arial"/>
      <family val="2"/>
    </font>
    <font>
      <i/>
      <vertAlign val="superscript"/>
      <sz val="10"/>
      <name val="Arial"/>
      <family val="2"/>
    </font>
    <font>
      <b/>
      <i/>
      <sz val="10"/>
      <name val="Arial"/>
      <family val="2"/>
    </font>
    <font>
      <vertAlign val="superscript"/>
      <sz val="8"/>
      <color indexed="81"/>
      <name val="Tahoma"/>
      <family val="2"/>
    </font>
    <font>
      <b/>
      <i/>
      <vertAlign val="subscript"/>
      <sz val="10"/>
      <name val="Arial"/>
      <family val="2"/>
    </font>
    <font>
      <vertAlign val="subscript"/>
      <sz val="8"/>
      <color indexed="81"/>
      <name val="Tahoma"/>
      <family val="2"/>
    </font>
    <font>
      <sz val="9"/>
      <color indexed="81"/>
      <name val="Tahoma"/>
      <family val="2"/>
    </font>
    <font>
      <b/>
      <sz val="9"/>
      <color indexed="81"/>
      <name val="Tahoma"/>
      <family val="2"/>
    </font>
    <font>
      <sz val="10"/>
      <name val="Arial"/>
      <family val="2"/>
    </font>
    <font>
      <u/>
      <sz val="11"/>
      <color theme="10"/>
      <name val="Calibri"/>
      <family val="2"/>
      <scheme val="minor"/>
    </font>
    <font>
      <u/>
      <sz val="10"/>
      <name val="Arial"/>
      <family val="2"/>
    </font>
  </fonts>
  <fills count="17">
    <fill>
      <patternFill patternType="none"/>
    </fill>
    <fill>
      <patternFill patternType="gray125"/>
    </fill>
    <fill>
      <patternFill patternType="solid">
        <fgColor indexed="50"/>
        <bgColor indexed="64"/>
      </patternFill>
    </fill>
    <fill>
      <patternFill patternType="solid">
        <fgColor indexed="4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99"/>
        <bgColor indexed="64"/>
      </patternFill>
    </fill>
    <fill>
      <patternFill patternType="solid">
        <fgColor rgb="FF99CC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A5D773"/>
        <bgColor indexed="64"/>
      </patternFill>
    </fill>
    <fill>
      <patternFill patternType="solid">
        <fgColor rgb="FFFFFF66"/>
        <bgColor indexed="64"/>
      </patternFill>
    </fill>
    <fill>
      <patternFill patternType="solid">
        <fgColor theme="9" tint="0.39997558519241921"/>
        <bgColor indexed="64"/>
      </patternFill>
    </fill>
    <fill>
      <patternFill patternType="solid">
        <fgColor rgb="FFFFFFA7"/>
        <bgColor indexed="64"/>
      </patternFill>
    </fill>
    <fill>
      <patternFill patternType="solid">
        <fgColor theme="8" tint="0.59999389629810485"/>
        <bgColor indexed="64"/>
      </patternFill>
    </fill>
    <fill>
      <patternFill patternType="solid">
        <fgColor rgb="FFFFFF81"/>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4">
    <xf numFmtId="0" fontId="0" fillId="0" borderId="0"/>
    <xf numFmtId="164" fontId="4" fillId="0" borderId="0" applyFont="0" applyFill="0" applyBorder="0" applyAlignment="0" applyProtection="0"/>
    <xf numFmtId="0" fontId="9" fillId="0" borderId="0" applyNumberFormat="0" applyFill="0" applyBorder="0" applyAlignment="0" applyProtection="0">
      <alignment vertical="top"/>
      <protection locked="0"/>
    </xf>
    <xf numFmtId="9" fontId="25" fillId="0" borderId="0" applyFont="0" applyFill="0" applyBorder="0" applyAlignment="0" applyProtection="0"/>
    <xf numFmtId="0" fontId="3"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2" fillId="0" borderId="0"/>
    <xf numFmtId="9" fontId="2" fillId="0" borderId="0" applyFont="0" applyFill="0" applyBorder="0" applyAlignment="0" applyProtection="0"/>
    <xf numFmtId="0" fontId="26"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240">
    <xf numFmtId="0" fontId="0" fillId="0" borderId="0" xfId="0"/>
    <xf numFmtId="0" fontId="0" fillId="0" borderId="0" xfId="0" applyBorder="1"/>
    <xf numFmtId="0" fontId="0" fillId="3" borderId="6" xfId="0" applyFill="1" applyBorder="1"/>
    <xf numFmtId="0" fontId="0" fillId="0" borderId="0" xfId="0" applyFill="1" applyBorder="1"/>
    <xf numFmtId="0" fontId="10" fillId="0" borderId="0" xfId="0" applyFont="1" applyBorder="1"/>
    <xf numFmtId="0" fontId="16" fillId="0" borderId="0" xfId="0" applyFont="1"/>
    <xf numFmtId="0" fontId="10" fillId="0" borderId="0" xfId="0" applyFont="1"/>
    <xf numFmtId="0" fontId="14" fillId="0" borderId="0" xfId="0" applyFont="1" applyBorder="1"/>
    <xf numFmtId="0" fontId="17" fillId="0" borderId="0" xfId="2" applyFont="1" applyBorder="1" applyAlignment="1" applyProtection="1"/>
    <xf numFmtId="0" fontId="14" fillId="3" borderId="6" xfId="0" applyFont="1" applyFill="1" applyBorder="1"/>
    <xf numFmtId="0" fontId="14" fillId="0" borderId="0" xfId="0" applyFont="1"/>
    <xf numFmtId="0" fontId="16" fillId="0" borderId="0" xfId="0" applyFont="1" applyFill="1" applyBorder="1"/>
    <xf numFmtId="0" fontId="14" fillId="0" borderId="0" xfId="0" applyFont="1" applyFill="1" applyBorder="1"/>
    <xf numFmtId="0" fontId="0" fillId="4" borderId="6" xfId="0" applyFill="1" applyBorder="1"/>
    <xf numFmtId="4" fontId="0" fillId="0" borderId="0" xfId="0" applyNumberFormat="1"/>
    <xf numFmtId="0" fontId="14" fillId="4" borderId="6" xfId="0" applyFont="1" applyFill="1" applyBorder="1"/>
    <xf numFmtId="0" fontId="14" fillId="5" borderId="6" xfId="0" applyFont="1" applyFill="1" applyBorder="1"/>
    <xf numFmtId="10" fontId="14" fillId="5" borderId="6" xfId="0" applyNumberFormat="1" applyFont="1" applyFill="1" applyBorder="1"/>
    <xf numFmtId="10" fontId="14" fillId="0" borderId="0" xfId="0" applyNumberFormat="1" applyFont="1" applyFill="1" applyBorder="1"/>
    <xf numFmtId="2" fontId="14" fillId="0" borderId="0" xfId="0" applyNumberFormat="1" applyFont="1" applyFill="1" applyBorder="1"/>
    <xf numFmtId="0" fontId="6" fillId="0" borderId="0" xfId="0" applyFont="1" applyAlignment="1">
      <alignment horizontal="center"/>
    </xf>
    <xf numFmtId="4" fontId="0" fillId="3" borderId="6" xfId="0" applyNumberFormat="1" applyFill="1" applyBorder="1"/>
    <xf numFmtId="0" fontId="11" fillId="0" borderId="0" xfId="0" applyFont="1" applyFill="1" applyBorder="1" applyAlignment="1"/>
    <xf numFmtId="0" fontId="0" fillId="4" borderId="11" xfId="0" applyFill="1" applyBorder="1"/>
    <xf numFmtId="0" fontId="14" fillId="0" borderId="0" xfId="2" applyFont="1" applyFill="1" applyBorder="1" applyAlignment="1" applyProtection="1"/>
    <xf numFmtId="4" fontId="0" fillId="0" borderId="0" xfId="0" applyNumberFormat="1" applyFill="1" applyBorder="1"/>
    <xf numFmtId="168" fontId="0" fillId="4" borderId="6" xfId="0" applyNumberFormat="1" applyFill="1" applyBorder="1"/>
    <xf numFmtId="0" fontId="14" fillId="6" borderId="6" xfId="0" applyFont="1" applyFill="1" applyBorder="1"/>
    <xf numFmtId="0" fontId="14" fillId="6" borderId="6" xfId="0" applyFont="1" applyFill="1" applyBorder="1" applyAlignment="1">
      <alignment vertical="center"/>
    </xf>
    <xf numFmtId="167" fontId="0" fillId="6" borderId="6" xfId="0" applyNumberFormat="1" applyFill="1" applyBorder="1"/>
    <xf numFmtId="0" fontId="14" fillId="7" borderId="6" xfId="0" applyFont="1" applyFill="1" applyBorder="1" applyAlignment="1">
      <alignment vertical="center"/>
    </xf>
    <xf numFmtId="167" fontId="0" fillId="7" borderId="6" xfId="0" applyNumberFormat="1" applyFill="1" applyBorder="1"/>
    <xf numFmtId="0" fontId="14" fillId="7" borderId="6" xfId="0" applyFont="1" applyFill="1" applyBorder="1"/>
    <xf numFmtId="0" fontId="14" fillId="4" borderId="6" xfId="0" applyFont="1" applyFill="1" applyBorder="1" applyAlignment="1">
      <alignment vertical="center"/>
    </xf>
    <xf numFmtId="0" fontId="14" fillId="4" borderId="6" xfId="0" applyFont="1" applyFill="1" applyBorder="1" applyAlignment="1">
      <alignment wrapText="1"/>
    </xf>
    <xf numFmtId="0" fontId="0" fillId="0" borderId="0" xfId="0" applyFont="1" applyFill="1" applyBorder="1"/>
    <xf numFmtId="4" fontId="0" fillId="4" borderId="6" xfId="0" applyNumberFormat="1" applyFill="1" applyBorder="1"/>
    <xf numFmtId="167" fontId="14" fillId="4" borderId="6" xfId="0" applyNumberFormat="1" applyFont="1" applyFill="1" applyBorder="1"/>
    <xf numFmtId="4" fontId="0" fillId="6" borderId="6" xfId="0" applyNumberFormat="1" applyFill="1" applyBorder="1"/>
    <xf numFmtId="170" fontId="0" fillId="4" borderId="6" xfId="0" applyNumberFormat="1" applyFill="1" applyBorder="1"/>
    <xf numFmtId="10" fontId="14" fillId="7" borderId="6" xfId="0" applyNumberFormat="1" applyFont="1" applyFill="1" applyBorder="1"/>
    <xf numFmtId="4" fontId="0" fillId="7" borderId="6" xfId="0" applyNumberFormat="1" applyFill="1" applyBorder="1"/>
    <xf numFmtId="167" fontId="14" fillId="6" borderId="6" xfId="0" applyNumberFormat="1" applyFont="1" applyFill="1" applyBorder="1"/>
    <xf numFmtId="4" fontId="14" fillId="7" borderId="6" xfId="0" applyNumberFormat="1" applyFont="1" applyFill="1" applyBorder="1"/>
    <xf numFmtId="10" fontId="0" fillId="3" borderId="6" xfId="0" applyNumberFormat="1" applyFill="1" applyBorder="1"/>
    <xf numFmtId="171" fontId="14" fillId="7" borderId="6" xfId="0" applyNumberFormat="1" applyFont="1" applyFill="1" applyBorder="1"/>
    <xf numFmtId="172" fontId="0" fillId="4" borderId="6" xfId="0" applyNumberFormat="1" applyFill="1" applyBorder="1"/>
    <xf numFmtId="0" fontId="14" fillId="10" borderId="6" xfId="0" applyFont="1" applyFill="1" applyBorder="1" applyAlignment="1">
      <alignment vertical="center"/>
    </xf>
    <xf numFmtId="0" fontId="14" fillId="10" borderId="6" xfId="0" applyFont="1" applyFill="1" applyBorder="1"/>
    <xf numFmtId="0" fontId="0" fillId="10" borderId="6" xfId="0" applyFill="1" applyBorder="1"/>
    <xf numFmtId="165" fontId="0" fillId="10" borderId="6" xfId="0" applyNumberFormat="1" applyFill="1" applyBorder="1"/>
    <xf numFmtId="0" fontId="0" fillId="3" borderId="6" xfId="0" applyNumberFormat="1" applyFill="1" applyBorder="1"/>
    <xf numFmtId="2" fontId="0" fillId="6" borderId="6" xfId="0" applyNumberFormat="1" applyFill="1" applyBorder="1"/>
    <xf numFmtId="172" fontId="0" fillId="6" borderId="6" xfId="0" applyNumberFormat="1" applyFill="1" applyBorder="1"/>
    <xf numFmtId="0" fontId="14" fillId="11" borderId="6" xfId="0" applyFont="1" applyFill="1" applyBorder="1"/>
    <xf numFmtId="167" fontId="0" fillId="11" borderId="6" xfId="0" applyNumberFormat="1" applyFill="1" applyBorder="1"/>
    <xf numFmtId="172" fontId="0" fillId="0" borderId="0" xfId="0" applyNumberFormat="1"/>
    <xf numFmtId="172" fontId="14" fillId="0" borderId="0" xfId="0" applyNumberFormat="1" applyFont="1"/>
    <xf numFmtId="165" fontId="0" fillId="0" borderId="0" xfId="0" applyNumberFormat="1"/>
    <xf numFmtId="165" fontId="14" fillId="0" borderId="0" xfId="0" applyNumberFormat="1" applyFont="1"/>
    <xf numFmtId="174" fontId="0" fillId="6" borderId="6" xfId="0" applyNumberFormat="1" applyFill="1" applyBorder="1"/>
    <xf numFmtId="169" fontId="0" fillId="4" borderId="6" xfId="0" applyNumberFormat="1" applyFill="1" applyBorder="1"/>
    <xf numFmtId="0" fontId="4" fillId="0" borderId="0" xfId="0" applyFont="1" applyAlignment="1">
      <alignment wrapText="1"/>
    </xf>
    <xf numFmtId="0" fontId="4" fillId="0" borderId="0" xfId="0" applyFont="1" applyBorder="1"/>
    <xf numFmtId="0" fontId="4" fillId="0" borderId="0" xfId="0" applyFont="1" applyBorder="1" applyAlignment="1">
      <alignment vertical="center"/>
    </xf>
    <xf numFmtId="0" fontId="4" fillId="0" borderId="0" xfId="0" applyFont="1" applyFill="1" applyBorder="1"/>
    <xf numFmtId="0" fontId="4" fillId="0" borderId="0" xfId="0" applyFont="1" applyFill="1" applyBorder="1" applyAlignment="1">
      <alignment horizontal="left" wrapText="1"/>
    </xf>
    <xf numFmtId="4" fontId="0" fillId="11" borderId="6" xfId="0" applyNumberFormat="1" applyFill="1" applyBorder="1"/>
    <xf numFmtId="0" fontId="4" fillId="6" borderId="6" xfId="0" applyFont="1" applyFill="1" applyBorder="1" applyAlignment="1">
      <alignment wrapText="1"/>
    </xf>
    <xf numFmtId="0" fontId="4" fillId="0" borderId="0" xfId="0" applyFont="1"/>
    <xf numFmtId="0" fontId="4" fillId="4" borderId="6" xfId="0" applyFont="1" applyFill="1" applyBorder="1"/>
    <xf numFmtId="2" fontId="0" fillId="4" borderId="6" xfId="0" applyNumberFormat="1" applyFill="1" applyBorder="1"/>
    <xf numFmtId="0" fontId="4" fillId="6" borderId="6" xfId="0" applyFont="1" applyFill="1" applyBorder="1" applyAlignment="1">
      <alignment horizontal="left" vertical="center"/>
    </xf>
    <xf numFmtId="0" fontId="4" fillId="3" borderId="6" xfId="0" applyFont="1" applyFill="1" applyBorder="1"/>
    <xf numFmtId="0" fontId="4" fillId="7" borderId="6" xfId="0" applyFont="1" applyFill="1" applyBorder="1"/>
    <xf numFmtId="176" fontId="0" fillId="7" borderId="6" xfId="0" applyNumberFormat="1" applyFill="1" applyBorder="1"/>
    <xf numFmtId="0" fontId="4" fillId="11" borderId="6" xfId="0" applyFont="1" applyFill="1" applyBorder="1"/>
    <xf numFmtId="176" fontId="0" fillId="11" borderId="6" xfId="0" applyNumberFormat="1" applyFill="1" applyBorder="1"/>
    <xf numFmtId="176" fontId="0" fillId="0" borderId="0" xfId="0" applyNumberFormat="1" applyFill="1" applyBorder="1"/>
    <xf numFmtId="0" fontId="4" fillId="0" borderId="0" xfId="0" applyFont="1" applyFill="1" applyBorder="1" applyAlignment="1">
      <alignment horizontal="left" vertical="top"/>
    </xf>
    <xf numFmtId="176" fontId="0" fillId="0" borderId="0" xfId="1" applyNumberFormat="1" applyFont="1" applyFill="1" applyBorder="1"/>
    <xf numFmtId="169" fontId="0" fillId="10" borderId="6" xfId="0" applyNumberFormat="1" applyFill="1" applyBorder="1"/>
    <xf numFmtId="0" fontId="10" fillId="0" borderId="0" xfId="0" applyFont="1" applyAlignment="1">
      <alignment horizontal="center"/>
    </xf>
    <xf numFmtId="167" fontId="0" fillId="10" borderId="6" xfId="0" applyNumberFormat="1" applyFill="1" applyBorder="1"/>
    <xf numFmtId="175" fontId="0" fillId="0" borderId="0" xfId="0" applyNumberFormat="1"/>
    <xf numFmtId="172" fontId="0" fillId="10" borderId="6" xfId="0" applyNumberFormat="1" applyFill="1" applyBorder="1"/>
    <xf numFmtId="0" fontId="4" fillId="6" borderId="6" xfId="0" applyFont="1" applyFill="1" applyBorder="1"/>
    <xf numFmtId="0" fontId="16" fillId="0" borderId="0" xfId="0" applyFont="1" applyAlignment="1">
      <alignment horizontal="right"/>
    </xf>
    <xf numFmtId="49" fontId="0" fillId="0" borderId="0" xfId="0" applyNumberFormat="1"/>
    <xf numFmtId="49" fontId="4" fillId="0" borderId="0" xfId="0" applyNumberFormat="1" applyFont="1" applyAlignment="1">
      <alignment horizontal="right"/>
    </xf>
    <xf numFmtId="0" fontId="4" fillId="0" borderId="0" xfId="0" applyNumberFormat="1" applyFont="1"/>
    <xf numFmtId="0" fontId="0" fillId="0" borderId="0" xfId="0" applyNumberFormat="1"/>
    <xf numFmtId="2" fontId="4" fillId="0" borderId="0" xfId="0" applyNumberFormat="1" applyFont="1"/>
    <xf numFmtId="0" fontId="9" fillId="3" borderId="6" xfId="2" applyFont="1" applyFill="1" applyBorder="1" applyAlignment="1" applyProtection="1"/>
    <xf numFmtId="166" fontId="0" fillId="0" borderId="0" xfId="0" applyNumberFormat="1"/>
    <xf numFmtId="0" fontId="4" fillId="0" borderId="0" xfId="0" applyNumberFormat="1" applyFont="1" applyAlignment="1">
      <alignment horizontal="right"/>
    </xf>
    <xf numFmtId="177" fontId="0" fillId="0" borderId="0" xfId="0" applyNumberFormat="1"/>
    <xf numFmtId="0" fontId="9" fillId="12" borderId="6" xfId="2" applyFont="1" applyFill="1" applyBorder="1" applyAlignment="1" applyProtection="1"/>
    <xf numFmtId="4" fontId="0" fillId="12" borderId="6" xfId="0" applyNumberFormat="1" applyFill="1" applyBorder="1"/>
    <xf numFmtId="0" fontId="4" fillId="12" borderId="6" xfId="0" applyFont="1" applyFill="1" applyBorder="1" applyAlignment="1">
      <alignment vertical="center"/>
    </xf>
    <xf numFmtId="165" fontId="0" fillId="12" borderId="6" xfId="0" applyNumberFormat="1" applyFill="1" applyBorder="1"/>
    <xf numFmtId="167" fontId="0" fillId="12" borderId="6" xfId="0" applyNumberFormat="1" applyFill="1" applyBorder="1"/>
    <xf numFmtId="172" fontId="0" fillId="12" borderId="6" xfId="0" applyNumberFormat="1" applyFill="1" applyBorder="1"/>
    <xf numFmtId="0" fontId="4" fillId="12" borderId="24" xfId="0" applyFont="1" applyFill="1" applyBorder="1" applyAlignment="1">
      <alignment vertical="center"/>
    </xf>
    <xf numFmtId="0" fontId="4" fillId="7" borderId="6" xfId="0" applyFont="1" applyFill="1" applyBorder="1" applyAlignment="1">
      <alignment wrapText="1"/>
    </xf>
    <xf numFmtId="0" fontId="4" fillId="11" borderId="6" xfId="0" applyFont="1" applyFill="1" applyBorder="1" applyAlignment="1">
      <alignment wrapText="1"/>
    </xf>
    <xf numFmtId="0" fontId="4" fillId="4" borderId="6" xfId="0" applyFont="1" applyFill="1" applyBorder="1" applyAlignment="1">
      <alignment wrapText="1"/>
    </xf>
    <xf numFmtId="0" fontId="4" fillId="10" borderId="6" xfId="0" applyFont="1" applyFill="1" applyBorder="1" applyAlignment="1">
      <alignment wrapText="1"/>
    </xf>
    <xf numFmtId="180" fontId="0" fillId="4" borderId="6" xfId="0" applyNumberFormat="1" applyFill="1" applyBorder="1"/>
    <xf numFmtId="181" fontId="0" fillId="4" borderId="6" xfId="0" applyNumberFormat="1" applyFill="1" applyBorder="1"/>
    <xf numFmtId="181" fontId="0" fillId="7" borderId="6" xfId="0" applyNumberFormat="1" applyFill="1" applyBorder="1"/>
    <xf numFmtId="171" fontId="0" fillId="10" borderId="6" xfId="0" applyNumberFormat="1" applyFill="1" applyBorder="1"/>
    <xf numFmtId="171" fontId="0" fillId="11" borderId="6" xfId="0" applyNumberFormat="1" applyFill="1" applyBorder="1"/>
    <xf numFmtId="165" fontId="0" fillId="12" borderId="24" xfId="0" applyNumberFormat="1" applyFill="1" applyBorder="1"/>
    <xf numFmtId="4" fontId="0" fillId="12" borderId="24" xfId="0" applyNumberFormat="1" applyFill="1" applyBorder="1"/>
    <xf numFmtId="0" fontId="4" fillId="13" borderId="6" xfId="0" applyFont="1" applyFill="1" applyBorder="1" applyAlignment="1">
      <alignment vertical="center"/>
    </xf>
    <xf numFmtId="4" fontId="0" fillId="13" borderId="6" xfId="0" applyNumberFormat="1" applyFill="1" applyBorder="1"/>
    <xf numFmtId="167" fontId="0" fillId="13" borderId="6" xfId="0" applyNumberFormat="1" applyFill="1" applyBorder="1"/>
    <xf numFmtId="166" fontId="4" fillId="6" borderId="6" xfId="0" applyNumberFormat="1" applyFont="1" applyFill="1" applyBorder="1" applyAlignment="1">
      <alignment horizontal="right" wrapText="1"/>
    </xf>
    <xf numFmtId="176" fontId="0" fillId="0" borderId="0" xfId="0" applyNumberFormat="1"/>
    <xf numFmtId="0" fontId="10" fillId="0" borderId="0" xfId="0" applyFont="1" applyFill="1" applyBorder="1"/>
    <xf numFmtId="167" fontId="0" fillId="4" borderId="6" xfId="0" applyNumberFormat="1" applyFill="1" applyBorder="1"/>
    <xf numFmtId="0" fontId="10" fillId="4" borderId="6" xfId="0" applyFont="1" applyFill="1" applyBorder="1"/>
    <xf numFmtId="10" fontId="0" fillId="4" borderId="6" xfId="3" applyNumberFormat="1" applyFont="1" applyFill="1" applyBorder="1"/>
    <xf numFmtId="4" fontId="14" fillId="6" borderId="6" xfId="0" applyNumberFormat="1" applyFont="1" applyFill="1" applyBorder="1"/>
    <xf numFmtId="0" fontId="0" fillId="6" borderId="6" xfId="0" applyFill="1" applyBorder="1"/>
    <xf numFmtId="0" fontId="10" fillId="4" borderId="8" xfId="0" applyFont="1" applyFill="1" applyBorder="1" applyAlignment="1">
      <alignment wrapText="1"/>
    </xf>
    <xf numFmtId="0" fontId="10" fillId="7" borderId="8" xfId="0" applyFont="1" applyFill="1" applyBorder="1" applyAlignment="1">
      <alignment wrapText="1"/>
    </xf>
    <xf numFmtId="0" fontId="0" fillId="7" borderId="6" xfId="0" applyFill="1" applyBorder="1"/>
    <xf numFmtId="0" fontId="0" fillId="7" borderId="11" xfId="0" applyFill="1" applyBorder="1"/>
    <xf numFmtId="0" fontId="10" fillId="7" borderId="8" xfId="0" applyFont="1" applyFill="1" applyBorder="1"/>
    <xf numFmtId="4" fontId="4" fillId="7" borderId="6" xfId="0" applyNumberFormat="1" applyFont="1" applyFill="1" applyBorder="1"/>
    <xf numFmtId="0" fontId="4" fillId="10" borderId="6" xfId="0" applyFont="1" applyFill="1" applyBorder="1" applyAlignment="1">
      <alignment vertical="center"/>
    </xf>
    <xf numFmtId="0" fontId="4" fillId="4" borderId="19" xfId="0" applyFont="1" applyFill="1" applyBorder="1"/>
    <xf numFmtId="0" fontId="0" fillId="4" borderId="21" xfId="0" applyFill="1" applyBorder="1"/>
    <xf numFmtId="171" fontId="0" fillId="4" borderId="20" xfId="0" applyNumberFormat="1" applyFill="1" applyBorder="1"/>
    <xf numFmtId="0" fontId="4" fillId="2" borderId="6" xfId="0" applyFont="1" applyFill="1" applyBorder="1" applyAlignment="1">
      <alignment horizontal="left" vertical="top"/>
    </xf>
    <xf numFmtId="0" fontId="0" fillId="8" borderId="26" xfId="0" applyFill="1" applyBorder="1"/>
    <xf numFmtId="0" fontId="16" fillId="15" borderId="27" xfId="0" applyFont="1" applyFill="1" applyBorder="1"/>
    <xf numFmtId="0" fontId="16" fillId="15" borderId="28" xfId="0" applyFont="1" applyFill="1" applyBorder="1"/>
    <xf numFmtId="180" fontId="0" fillId="7" borderId="6" xfId="0" applyNumberFormat="1" applyFill="1" applyBorder="1"/>
    <xf numFmtId="0" fontId="10" fillId="10" borderId="12" xfId="0" applyFont="1" applyFill="1" applyBorder="1" applyAlignment="1">
      <alignment wrapText="1"/>
    </xf>
    <xf numFmtId="0" fontId="0" fillId="10" borderId="13" xfId="0" applyFill="1" applyBorder="1"/>
    <xf numFmtId="0" fontId="0" fillId="10" borderId="14" xfId="0" applyFill="1" applyBorder="1"/>
    <xf numFmtId="178" fontId="0" fillId="4" borderId="6" xfId="0" applyNumberFormat="1" applyFill="1" applyBorder="1"/>
    <xf numFmtId="179" fontId="0" fillId="4" borderId="6" xfId="0" applyNumberFormat="1" applyFill="1" applyBorder="1"/>
    <xf numFmtId="178" fontId="0" fillId="4" borderId="11" xfId="0" applyNumberFormat="1" applyFill="1" applyBorder="1"/>
    <xf numFmtId="0" fontId="10" fillId="7" borderId="1" xfId="0" applyFont="1" applyFill="1" applyBorder="1"/>
    <xf numFmtId="0" fontId="4" fillId="7" borderId="6" xfId="0" applyFont="1" applyFill="1" applyBorder="1" applyAlignment="1">
      <alignment vertical="center"/>
    </xf>
    <xf numFmtId="0" fontId="14" fillId="0" borderId="0" xfId="0" applyFont="1" applyAlignment="1"/>
    <xf numFmtId="0" fontId="16" fillId="0" borderId="0" xfId="0" applyFont="1" applyAlignment="1"/>
    <xf numFmtId="182" fontId="0" fillId="0" borderId="0" xfId="0" applyNumberFormat="1"/>
    <xf numFmtId="183" fontId="0" fillId="0" borderId="0" xfId="0" applyNumberFormat="1"/>
    <xf numFmtId="0" fontId="4" fillId="7" borderId="8" xfId="0" applyFont="1" applyFill="1" applyBorder="1" applyAlignment="1">
      <alignment wrapText="1"/>
    </xf>
    <xf numFmtId="0" fontId="10" fillId="11" borderId="8" xfId="0" applyFont="1" applyFill="1" applyBorder="1" applyAlignment="1">
      <alignment wrapText="1"/>
    </xf>
    <xf numFmtId="175" fontId="0" fillId="4" borderId="6" xfId="0" applyNumberFormat="1" applyFill="1" applyBorder="1"/>
    <xf numFmtId="175" fontId="0" fillId="4" borderId="11" xfId="0" applyNumberFormat="1" applyFill="1" applyBorder="1"/>
    <xf numFmtId="182" fontId="0" fillId="7" borderId="6" xfId="0" applyNumberFormat="1" applyFill="1" applyBorder="1"/>
    <xf numFmtId="182" fontId="0" fillId="7" borderId="11" xfId="0" applyNumberFormat="1" applyFill="1" applyBorder="1"/>
    <xf numFmtId="0" fontId="10" fillId="11" borderId="8" xfId="0" applyFont="1" applyFill="1" applyBorder="1"/>
    <xf numFmtId="169" fontId="4" fillId="7" borderId="24" xfId="0" applyNumberFormat="1" applyFont="1" applyFill="1" applyBorder="1"/>
    <xf numFmtId="169" fontId="4" fillId="7" borderId="25" xfId="0" applyNumberFormat="1" applyFont="1" applyFill="1" applyBorder="1"/>
    <xf numFmtId="4" fontId="4" fillId="11" borderId="6" xfId="0" applyNumberFormat="1" applyFont="1" applyFill="1" applyBorder="1"/>
    <xf numFmtId="4" fontId="4" fillId="7" borderId="11" xfId="0" applyNumberFormat="1" applyFont="1" applyFill="1" applyBorder="1"/>
    <xf numFmtId="0" fontId="4" fillId="4" borderId="8" xfId="0" applyFont="1" applyFill="1" applyBorder="1" applyAlignment="1">
      <alignment wrapText="1"/>
    </xf>
    <xf numFmtId="0" fontId="4" fillId="10" borderId="8" xfId="0" applyFont="1" applyFill="1" applyBorder="1" applyAlignment="1">
      <alignment wrapText="1"/>
    </xf>
    <xf numFmtId="0" fontId="0" fillId="10" borderId="11" xfId="0" applyFill="1" applyBorder="1"/>
    <xf numFmtId="0" fontId="4" fillId="11" borderId="12" xfId="0" applyFont="1" applyFill="1" applyBorder="1" applyAlignment="1">
      <alignment wrapText="1"/>
    </xf>
    <xf numFmtId="0" fontId="0" fillId="11" borderId="14" xfId="0" applyFill="1" applyBorder="1"/>
    <xf numFmtId="165" fontId="4" fillId="7" borderId="11" xfId="0" applyNumberFormat="1" applyFont="1" applyFill="1" applyBorder="1"/>
    <xf numFmtId="165" fontId="0" fillId="11" borderId="2" xfId="0" applyNumberFormat="1" applyFill="1" applyBorder="1"/>
    <xf numFmtId="0" fontId="4" fillId="6" borderId="19" xfId="0" applyFont="1" applyFill="1" applyBorder="1"/>
    <xf numFmtId="0" fontId="0" fillId="6" borderId="20" xfId="0" applyFill="1" applyBorder="1"/>
    <xf numFmtId="0" fontId="4" fillId="4" borderId="8" xfId="0" applyFont="1" applyFill="1" applyBorder="1"/>
    <xf numFmtId="0" fontId="10" fillId="4" borderId="8" xfId="0" applyFont="1" applyFill="1" applyBorder="1"/>
    <xf numFmtId="0" fontId="10" fillId="14" borderId="8" xfId="0" applyFont="1" applyFill="1" applyBorder="1"/>
    <xf numFmtId="0" fontId="4" fillId="14" borderId="11" xfId="0" applyFont="1" applyFill="1" applyBorder="1"/>
    <xf numFmtId="0" fontId="0" fillId="14" borderId="11" xfId="0" applyFill="1" applyBorder="1"/>
    <xf numFmtId="0" fontId="10" fillId="10" borderId="8" xfId="0" applyFont="1" applyFill="1" applyBorder="1"/>
    <xf numFmtId="182" fontId="0" fillId="10" borderId="11" xfId="0" applyNumberFormat="1" applyFill="1" applyBorder="1"/>
    <xf numFmtId="166" fontId="4" fillId="0" borderId="0" xfId="0" applyNumberFormat="1" applyFont="1"/>
    <xf numFmtId="2" fontId="0" fillId="4" borderId="11" xfId="0" applyNumberFormat="1" applyFill="1" applyBorder="1"/>
    <xf numFmtId="171" fontId="4" fillId="4" borderId="11" xfId="0" applyNumberFormat="1" applyFont="1" applyFill="1" applyBorder="1"/>
    <xf numFmtId="0" fontId="4" fillId="10" borderId="11" xfId="0" applyFont="1" applyFill="1" applyBorder="1"/>
    <xf numFmtId="0" fontId="10" fillId="7" borderId="9" xfId="0" applyFont="1" applyFill="1" applyBorder="1"/>
    <xf numFmtId="165" fontId="4" fillId="7" borderId="18" xfId="0" applyNumberFormat="1" applyFont="1" applyFill="1" applyBorder="1"/>
    <xf numFmtId="0" fontId="10" fillId="11" borderId="9" xfId="0" applyFont="1" applyFill="1" applyBorder="1"/>
    <xf numFmtId="165" fontId="4" fillId="11" borderId="18" xfId="0" applyNumberFormat="1" applyFont="1" applyFill="1" applyBorder="1"/>
    <xf numFmtId="0" fontId="0" fillId="10" borderId="25" xfId="0" applyFill="1" applyBorder="1"/>
    <xf numFmtId="171" fontId="4" fillId="10" borderId="11" xfId="0" applyNumberFormat="1" applyFont="1" applyFill="1" applyBorder="1"/>
    <xf numFmtId="0" fontId="10" fillId="16" borderId="9" xfId="0" applyFont="1" applyFill="1" applyBorder="1"/>
    <xf numFmtId="2" fontId="0" fillId="16" borderId="18" xfId="0" applyNumberFormat="1" applyFill="1" applyBorder="1"/>
    <xf numFmtId="0" fontId="4" fillId="10" borderId="8" xfId="0" applyFont="1" applyFill="1" applyBorder="1"/>
    <xf numFmtId="2" fontId="0" fillId="10" borderId="11" xfId="0" applyNumberFormat="1" applyFill="1" applyBorder="1"/>
    <xf numFmtId="0" fontId="10" fillId="10" borderId="23" xfId="0" applyFont="1" applyFill="1" applyBorder="1"/>
    <xf numFmtId="0" fontId="0" fillId="0" borderId="0" xfId="0" applyNumberFormat="1" applyFill="1" applyBorder="1"/>
    <xf numFmtId="0" fontId="3" fillId="0" borderId="0" xfId="4" applyFill="1"/>
    <xf numFmtId="175" fontId="0" fillId="10" borderId="11" xfId="0" applyNumberFormat="1" applyFill="1" applyBorder="1"/>
    <xf numFmtId="176" fontId="0" fillId="14" borderId="11" xfId="0" applyNumberFormat="1" applyFill="1" applyBorder="1"/>
    <xf numFmtId="176" fontId="0" fillId="10" borderId="11" xfId="0" applyNumberFormat="1" applyFill="1" applyBorder="1"/>
    <xf numFmtId="2" fontId="0" fillId="10" borderId="6" xfId="0" applyNumberFormat="1" applyFill="1" applyBorder="1"/>
    <xf numFmtId="0" fontId="4" fillId="14" borderId="8" xfId="0" applyFont="1" applyFill="1" applyBorder="1"/>
    <xf numFmtId="0" fontId="10" fillId="14" borderId="12" xfId="0" applyFont="1" applyFill="1" applyBorder="1"/>
    <xf numFmtId="175" fontId="4" fillId="14" borderId="14" xfId="0" applyNumberFormat="1" applyFont="1" applyFill="1" applyBorder="1"/>
    <xf numFmtId="184" fontId="0" fillId="0" borderId="0" xfId="0" applyNumberFormat="1"/>
    <xf numFmtId="182" fontId="4" fillId="0" borderId="0" xfId="0" applyNumberFormat="1" applyFont="1"/>
    <xf numFmtId="182" fontId="4" fillId="0" borderId="0" xfId="0" applyNumberFormat="1" applyFont="1" applyAlignment="1">
      <alignment wrapText="1"/>
    </xf>
    <xf numFmtId="168" fontId="4" fillId="0" borderId="0" xfId="0" applyNumberFormat="1" applyFont="1" applyFill="1" applyBorder="1" applyAlignment="1">
      <alignment horizontal="left" vertical="top"/>
    </xf>
    <xf numFmtId="173" fontId="4" fillId="0" borderId="0" xfId="0" applyNumberFormat="1" applyFont="1" applyFill="1" applyBorder="1"/>
    <xf numFmtId="175" fontId="0" fillId="14" borderId="11" xfId="0" applyNumberFormat="1" applyFill="1" applyBorder="1"/>
    <xf numFmtId="176" fontId="14" fillId="0" borderId="0" xfId="0" applyNumberFormat="1" applyFont="1"/>
    <xf numFmtId="182" fontId="0" fillId="3" borderId="6" xfId="0" applyNumberFormat="1" applyFill="1" applyBorder="1"/>
    <xf numFmtId="10" fontId="16" fillId="0" borderId="0" xfId="0" applyNumberFormat="1" applyFont="1" applyFill="1" applyBorder="1"/>
    <xf numFmtId="4" fontId="14" fillId="0" borderId="0" xfId="0" applyNumberFormat="1" applyFont="1" applyFill="1" applyBorder="1"/>
    <xf numFmtId="10" fontId="16" fillId="7" borderId="29" xfId="0" applyNumberFormat="1" applyFont="1" applyFill="1" applyBorder="1"/>
    <xf numFmtId="4" fontId="14" fillId="7" borderId="30" xfId="0" applyNumberFormat="1" applyFont="1" applyFill="1" applyBorder="1"/>
    <xf numFmtId="166" fontId="14" fillId="0" borderId="0" xfId="0" applyNumberFormat="1" applyFont="1" applyFill="1" applyBorder="1"/>
    <xf numFmtId="165" fontId="0" fillId="10" borderId="24" xfId="0" applyNumberFormat="1" applyFill="1" applyBorder="1"/>
    <xf numFmtId="0" fontId="4" fillId="4" borderId="6" xfId="0" applyFont="1" applyFill="1" applyBorder="1" applyAlignment="1">
      <alignment horizontal="left" vertical="center"/>
    </xf>
    <xf numFmtId="166" fontId="4" fillId="4" borderId="6" xfId="0" applyNumberFormat="1" applyFont="1" applyFill="1" applyBorder="1" applyAlignment="1">
      <alignment horizontal="right" wrapText="1"/>
    </xf>
    <xf numFmtId="0" fontId="10" fillId="0" borderId="0" xfId="0" applyFont="1" applyFill="1"/>
    <xf numFmtId="185" fontId="0" fillId="0" borderId="0" xfId="3" applyNumberFormat="1" applyFont="1"/>
    <xf numFmtId="0" fontId="0" fillId="0" borderId="0" xfId="3" applyNumberFormat="1" applyFont="1"/>
    <xf numFmtId="0" fontId="27" fillId="0" borderId="0" xfId="0" applyFont="1"/>
    <xf numFmtId="1" fontId="0" fillId="0" borderId="0" xfId="0" applyNumberFormat="1"/>
    <xf numFmtId="180" fontId="0" fillId="0" borderId="0" xfId="0" applyNumberFormat="1"/>
    <xf numFmtId="0" fontId="6" fillId="0" borderId="7" xfId="0" applyFont="1" applyBorder="1" applyAlignment="1">
      <alignment horizontal="center"/>
    </xf>
    <xf numFmtId="0" fontId="6" fillId="0" borderId="17" xfId="0" applyFont="1" applyBorder="1" applyAlignment="1">
      <alignment horizontal="center"/>
    </xf>
    <xf numFmtId="0" fontId="6" fillId="0" borderId="10" xfId="0" applyFont="1" applyBorder="1" applyAlignment="1">
      <alignment horizontal="center"/>
    </xf>
    <xf numFmtId="0" fontId="14" fillId="0" borderId="0" xfId="0" applyFont="1" applyAlignment="1">
      <alignment horizontal="center"/>
    </xf>
    <xf numFmtId="0" fontId="0" fillId="0" borderId="0" xfId="0" applyAlignment="1">
      <alignment horizontal="center"/>
    </xf>
    <xf numFmtId="0" fontId="4" fillId="9" borderId="15" xfId="0" applyFont="1" applyFill="1" applyBorder="1" applyAlignment="1">
      <alignment horizontal="left" vertical="top" wrapText="1"/>
    </xf>
    <xf numFmtId="0" fontId="4" fillId="9" borderId="22" xfId="0" applyFont="1" applyFill="1" applyBorder="1" applyAlignment="1">
      <alignment horizontal="left" vertical="top" wrapText="1"/>
    </xf>
    <xf numFmtId="0" fontId="4" fillId="9" borderId="16"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0" xfId="0" applyFont="1" applyFill="1" applyBorder="1" applyAlignment="1">
      <alignment horizontal="left" vertical="top" wrapText="1"/>
    </xf>
    <xf numFmtId="0" fontId="4" fillId="9" borderId="2" xfId="0" applyFont="1" applyFill="1" applyBorder="1" applyAlignment="1">
      <alignment horizontal="left" vertical="top" wrapText="1"/>
    </xf>
    <xf numFmtId="0" fontId="4" fillId="9" borderId="3" xfId="0" applyFont="1" applyFill="1" applyBorder="1" applyAlignment="1">
      <alignment horizontal="left" vertical="top" wrapText="1"/>
    </xf>
    <xf numFmtId="0" fontId="4" fillId="9" borderId="4" xfId="0" applyFont="1" applyFill="1" applyBorder="1" applyAlignment="1">
      <alignment horizontal="left" vertical="top" wrapText="1"/>
    </xf>
    <xf numFmtId="0" fontId="4" fillId="9" borderId="5" xfId="0" applyFont="1" applyFill="1" applyBorder="1" applyAlignment="1">
      <alignment horizontal="left" vertical="top" wrapText="1"/>
    </xf>
  </cellXfs>
  <cellStyles count="14">
    <cellStyle name="Comma" xfId="1" builtinId="3"/>
    <cellStyle name="Comma 2" xfId="6"/>
    <cellStyle name="Hyperlink" xfId="2" builtinId="8"/>
    <cellStyle name="Hyperlink 2" xfId="10"/>
    <cellStyle name="Normal" xfId="0" builtinId="0"/>
    <cellStyle name="Normal 2" xfId="4"/>
    <cellStyle name="Normal 2 2" xfId="5"/>
    <cellStyle name="Normal 2 3" xfId="11"/>
    <cellStyle name="Normal 3" xfId="8"/>
    <cellStyle name="Normal 3 2" xfId="12"/>
    <cellStyle name="Percent" xfId="3" builtinId="5"/>
    <cellStyle name="Percent 2" xfId="7"/>
    <cellStyle name="Percent 3" xfId="9"/>
    <cellStyle name="Percent 3 2" xfId="13"/>
  </cellStyles>
  <dxfs count="0"/>
  <tableStyles count="0" defaultTableStyle="TableStyleMedium9" defaultPivotStyle="PivotStyleLight16"/>
  <colors>
    <mruColors>
      <color rgb="FFFFFFA7"/>
      <color rgb="FFA5D773"/>
      <color rgb="FFFFFF81"/>
      <color rgb="FF99CC00"/>
      <color rgb="FFFFFF99"/>
      <color rgb="FFFFFFC1"/>
      <color rgb="FFFFFF66"/>
      <color rgb="FFFFFFCD"/>
      <color rgb="FFFFFF37"/>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2D Cross Sectional Chamber</a:t>
            </a:r>
          </a:p>
        </c:rich>
      </c:tx>
      <c:layout>
        <c:manualLayout>
          <c:xMode val="edge"/>
          <c:yMode val="edge"/>
          <c:x val="0.31030455852316952"/>
          <c:y val="4.3664733433924303E-2"/>
        </c:manualLayout>
      </c:layout>
      <c:overlay val="1"/>
    </c:title>
    <c:autoTitleDeleted val="0"/>
    <c:plotArea>
      <c:layout/>
      <c:scatterChart>
        <c:scatterStyle val="lineMarker"/>
        <c:varyColors val="0"/>
        <c:ser>
          <c:idx val="0"/>
          <c:order val="0"/>
          <c:tx>
            <c:strRef>
              <c:f>VesselCharacteristics!$O$3</c:f>
              <c:strCache>
                <c:ptCount val="1"/>
                <c:pt idx="0">
                  <c:v>y-top</c:v>
                </c:pt>
              </c:strCache>
            </c:strRef>
          </c:tx>
          <c:spPr>
            <a:ln>
              <a:solidFill>
                <a:schemeClr val="tx2">
                  <a:lumMod val="60000"/>
                  <a:lumOff val="40000"/>
                </a:schemeClr>
              </a:solidFill>
            </a:ln>
          </c:spPr>
          <c:marker>
            <c:symbol val="circle"/>
            <c:size val="7"/>
            <c:spPr>
              <a:solidFill>
                <a:schemeClr val="accent1">
                  <a:lumMod val="50000"/>
                </a:schemeClr>
              </a:solidFill>
            </c:spPr>
          </c:marker>
          <c:xVal>
            <c:numRef>
              <c:f>VesselCharacteristics!$N$4:$N$8</c:f>
              <c:numCache>
                <c:formatCode>#,##0.00000</c:formatCode>
                <c:ptCount val="5"/>
                <c:pt idx="0" formatCode="General">
                  <c:v>0</c:v>
                </c:pt>
                <c:pt idx="1">
                  <c:v>2.4999999974500002</c:v>
                </c:pt>
                <c:pt idx="2">
                  <c:v>2.9348600543246821</c:v>
                </c:pt>
                <c:pt idx="3">
                  <c:v>2.9742301330246823</c:v>
                </c:pt>
                <c:pt idx="4">
                  <c:v>3.3058878128746678</c:v>
                </c:pt>
              </c:numCache>
            </c:numRef>
          </c:xVal>
          <c:yVal>
            <c:numRef>
              <c:f>VesselCharacteristics!$O$4:$O$8</c:f>
              <c:numCache>
                <c:formatCode>#,##0.00000</c:formatCode>
                <c:ptCount val="5"/>
                <c:pt idx="0">
                  <c:v>0.47628702300551584</c:v>
                </c:pt>
                <c:pt idx="1">
                  <c:v>0.47628702300551584</c:v>
                </c:pt>
                <c:pt idx="2" formatCode="General">
                  <c:v>0.35976662194539272</c:v>
                </c:pt>
                <c:pt idx="3" formatCode="General">
                  <c:v>0.35976662194539272</c:v>
                </c:pt>
                <c:pt idx="4" formatCode="General">
                  <c:v>0.38878290910357671</c:v>
                </c:pt>
              </c:numCache>
            </c:numRef>
          </c:yVal>
          <c:smooth val="0"/>
        </c:ser>
        <c:ser>
          <c:idx val="1"/>
          <c:order val="1"/>
          <c:tx>
            <c:strRef>
              <c:f>VesselCharacteristics!$P$3</c:f>
              <c:strCache>
                <c:ptCount val="1"/>
                <c:pt idx="0">
                  <c:v>y-bottom</c:v>
                </c:pt>
              </c:strCache>
            </c:strRef>
          </c:tx>
          <c:spPr>
            <a:ln>
              <a:solidFill>
                <a:schemeClr val="tx2">
                  <a:lumMod val="60000"/>
                  <a:lumOff val="40000"/>
                </a:schemeClr>
              </a:solidFill>
            </a:ln>
          </c:spPr>
          <c:marker>
            <c:symbol val="circle"/>
            <c:size val="7"/>
            <c:spPr>
              <a:solidFill>
                <a:schemeClr val="accent1">
                  <a:lumMod val="50000"/>
                </a:schemeClr>
              </a:solidFill>
            </c:spPr>
          </c:marker>
          <c:xVal>
            <c:numRef>
              <c:f>VesselCharacteristics!$N$4:$N$8</c:f>
              <c:numCache>
                <c:formatCode>#,##0.00000</c:formatCode>
                <c:ptCount val="5"/>
                <c:pt idx="0" formatCode="General">
                  <c:v>0</c:v>
                </c:pt>
                <c:pt idx="1">
                  <c:v>2.4999999974500002</c:v>
                </c:pt>
                <c:pt idx="2">
                  <c:v>2.9348600543246821</c:v>
                </c:pt>
                <c:pt idx="3">
                  <c:v>2.9742301330246823</c:v>
                </c:pt>
                <c:pt idx="4">
                  <c:v>3.3058878128746678</c:v>
                </c:pt>
              </c:numCache>
            </c:numRef>
          </c:xVal>
          <c:yVal>
            <c:numRef>
              <c:f>VesselCharacteristics!$P$4:$P$8</c:f>
              <c:numCache>
                <c:formatCode>General</c:formatCode>
                <c:ptCount val="5"/>
                <c:pt idx="0" formatCode="#,##0.000">
                  <c:v>7.8740157399999997E-2</c:v>
                </c:pt>
                <c:pt idx="1">
                  <c:v>7.8740157399999997E-2</c:v>
                </c:pt>
                <c:pt idx="2">
                  <c:v>0.19526055846012313</c:v>
                </c:pt>
                <c:pt idx="3">
                  <c:v>0.19526055846012313</c:v>
                </c:pt>
                <c:pt idx="4">
                  <c:v>0.16624427130193914</c:v>
                </c:pt>
              </c:numCache>
            </c:numRef>
          </c:yVal>
          <c:smooth val="0"/>
        </c:ser>
        <c:ser>
          <c:idx val="2"/>
          <c:order val="2"/>
          <c:tx>
            <c:strRef>
              <c:f>VesselCharacteristics!$Q$3</c:f>
              <c:strCache>
                <c:ptCount val="1"/>
                <c:pt idx="0">
                  <c:v>y-top-outer</c:v>
                </c:pt>
              </c:strCache>
            </c:strRef>
          </c:tx>
          <c:spPr>
            <a:ln>
              <a:solidFill>
                <a:schemeClr val="tx1">
                  <a:lumMod val="95000"/>
                  <a:lumOff val="5000"/>
                </a:schemeClr>
              </a:solidFill>
              <a:prstDash val="sysDash"/>
            </a:ln>
          </c:spPr>
          <c:marker>
            <c:symbol val="diamond"/>
            <c:size val="7"/>
            <c:spPr>
              <a:solidFill>
                <a:schemeClr val="tx1"/>
              </a:solidFill>
            </c:spPr>
          </c:marker>
          <c:xVal>
            <c:numRef>
              <c:f>(VesselCharacteristics!$N$4,VesselCharacteristics!$N$8)</c:f>
              <c:numCache>
                <c:formatCode>#,##0.00000</c:formatCode>
                <c:ptCount val="2"/>
                <c:pt idx="0" formatCode="General">
                  <c:v>0</c:v>
                </c:pt>
                <c:pt idx="1">
                  <c:v>3.3058878128746678</c:v>
                </c:pt>
              </c:numCache>
            </c:numRef>
          </c:xVal>
          <c:yVal>
            <c:numRef>
              <c:f>(VesselCharacteristics!$Q$4,VesselCharacteristics!$Q$8)</c:f>
              <c:numCache>
                <c:formatCode>#,##0.00000</c:formatCode>
                <c:ptCount val="2"/>
                <c:pt idx="0">
                  <c:v>0.5550271804055158</c:v>
                </c:pt>
                <c:pt idx="1">
                  <c:v>0.5550271804055158</c:v>
                </c:pt>
              </c:numCache>
            </c:numRef>
          </c:yVal>
          <c:smooth val="0"/>
        </c:ser>
        <c:ser>
          <c:idx val="3"/>
          <c:order val="3"/>
          <c:tx>
            <c:strRef>
              <c:f>VesselCharacteristics!$S$3</c:f>
              <c:strCache>
                <c:ptCount val="1"/>
                <c:pt idx="0">
                  <c:v>y-tube-top-upper</c:v>
                </c:pt>
              </c:strCache>
            </c:strRef>
          </c:tx>
          <c:spPr>
            <a:ln>
              <a:solidFill>
                <a:srgbClr val="FFC000"/>
              </a:solidFill>
            </a:ln>
          </c:spPr>
          <c:marker>
            <c:symbol val="diamond"/>
            <c:size val="7"/>
            <c:spPr>
              <a:solidFill>
                <a:srgbClr val="FFC000"/>
              </a:solidFill>
              <a:ln>
                <a:solidFill>
                  <a:srgbClr val="FFC000"/>
                </a:solidFill>
              </a:ln>
            </c:spPr>
          </c:marker>
          <c:xVal>
            <c:numRef>
              <c:f>VesselCharacteristics!$N$4:$N$8</c:f>
              <c:numCache>
                <c:formatCode>#,##0.00000</c:formatCode>
                <c:ptCount val="5"/>
                <c:pt idx="0" formatCode="General">
                  <c:v>0</c:v>
                </c:pt>
                <c:pt idx="1">
                  <c:v>2.4999999974500002</c:v>
                </c:pt>
                <c:pt idx="2">
                  <c:v>2.9348600543246821</c:v>
                </c:pt>
                <c:pt idx="3">
                  <c:v>2.9742301330246823</c:v>
                </c:pt>
                <c:pt idx="4">
                  <c:v>3.3058878128746678</c:v>
                </c:pt>
              </c:numCache>
            </c:numRef>
          </c:xVal>
          <c:yVal>
            <c:numRef>
              <c:f>VesselCharacteristics!$S$4:$S$8</c:f>
              <c:numCache>
                <c:formatCode>#,##0.00000</c:formatCode>
                <c:ptCount val="5"/>
                <c:pt idx="0">
                  <c:v>0.47628702300551584</c:v>
                </c:pt>
                <c:pt idx="1">
                  <c:v>0.47628702300551584</c:v>
                </c:pt>
                <c:pt idx="2">
                  <c:v>0.35976662194539272</c:v>
                </c:pt>
                <c:pt idx="3">
                  <c:v>0.35976662194539272</c:v>
                </c:pt>
                <c:pt idx="4">
                  <c:v>0.38878290910357671</c:v>
                </c:pt>
              </c:numCache>
            </c:numRef>
          </c:yVal>
          <c:smooth val="0"/>
        </c:ser>
        <c:ser>
          <c:idx val="4"/>
          <c:order val="4"/>
          <c:tx>
            <c:strRef>
              <c:f>VesselCharacteristics!$T$3</c:f>
              <c:strCache>
                <c:ptCount val="1"/>
                <c:pt idx="0">
                  <c:v>y-tube-top-lower</c:v>
                </c:pt>
              </c:strCache>
            </c:strRef>
          </c:tx>
          <c:spPr>
            <a:ln>
              <a:solidFill>
                <a:srgbClr val="FFC000"/>
              </a:solidFill>
            </a:ln>
          </c:spPr>
          <c:marker>
            <c:symbol val="diamond"/>
            <c:size val="7"/>
            <c:spPr>
              <a:solidFill>
                <a:srgbClr val="FFC000"/>
              </a:solidFill>
              <a:ln>
                <a:solidFill>
                  <a:srgbClr val="FFC000"/>
                </a:solidFill>
              </a:ln>
            </c:spPr>
          </c:marker>
          <c:xVal>
            <c:numRef>
              <c:f>VesselCharacteristics!$N$4:$N$8</c:f>
              <c:numCache>
                <c:formatCode>#,##0.00000</c:formatCode>
                <c:ptCount val="5"/>
                <c:pt idx="0" formatCode="General">
                  <c:v>0</c:v>
                </c:pt>
                <c:pt idx="1">
                  <c:v>2.4999999974500002</c:v>
                </c:pt>
                <c:pt idx="2">
                  <c:v>2.9348600543246821</c:v>
                </c:pt>
                <c:pt idx="3">
                  <c:v>2.9742301330246823</c:v>
                </c:pt>
                <c:pt idx="4">
                  <c:v>3.3058878128746678</c:v>
                </c:pt>
              </c:numCache>
            </c:numRef>
          </c:xVal>
          <c:yVal>
            <c:numRef>
              <c:f>VesselCharacteristics!$T$4:$T$8</c:f>
              <c:numCache>
                <c:formatCode>#,##0.00000</c:formatCode>
                <c:ptCount val="5"/>
                <c:pt idx="0">
                  <c:v>0.47628702300551584</c:v>
                </c:pt>
                <c:pt idx="1">
                  <c:v>0.47628702300551584</c:v>
                </c:pt>
                <c:pt idx="2">
                  <c:v>0.35976662194539272</c:v>
                </c:pt>
                <c:pt idx="3">
                  <c:v>0.35976662194539272</c:v>
                </c:pt>
                <c:pt idx="4">
                  <c:v>0.38878290910357671</c:v>
                </c:pt>
              </c:numCache>
            </c:numRef>
          </c:yVal>
          <c:smooth val="0"/>
        </c:ser>
        <c:ser>
          <c:idx val="5"/>
          <c:order val="5"/>
          <c:tx>
            <c:strRef>
              <c:f>VesselCharacteristics!$U$3</c:f>
              <c:strCache>
                <c:ptCount val="1"/>
                <c:pt idx="0">
                  <c:v>y-tube-bottom-upper</c:v>
                </c:pt>
              </c:strCache>
            </c:strRef>
          </c:tx>
          <c:spPr>
            <a:ln>
              <a:solidFill>
                <a:srgbClr val="FFC000"/>
              </a:solidFill>
            </a:ln>
          </c:spPr>
          <c:marker>
            <c:symbol val="diamond"/>
            <c:size val="7"/>
            <c:spPr>
              <a:solidFill>
                <a:srgbClr val="FFC000"/>
              </a:solidFill>
              <a:ln>
                <a:solidFill>
                  <a:srgbClr val="FFC000"/>
                </a:solidFill>
              </a:ln>
            </c:spPr>
          </c:marker>
          <c:xVal>
            <c:numRef>
              <c:f>VesselCharacteristics!$N$4:$N$8</c:f>
              <c:numCache>
                <c:formatCode>#,##0.00000</c:formatCode>
                <c:ptCount val="5"/>
                <c:pt idx="0" formatCode="General">
                  <c:v>0</c:v>
                </c:pt>
                <c:pt idx="1">
                  <c:v>2.4999999974500002</c:v>
                </c:pt>
                <c:pt idx="2">
                  <c:v>2.9348600543246821</c:v>
                </c:pt>
                <c:pt idx="3">
                  <c:v>2.9742301330246823</c:v>
                </c:pt>
                <c:pt idx="4">
                  <c:v>3.3058878128746678</c:v>
                </c:pt>
              </c:numCache>
            </c:numRef>
          </c:xVal>
          <c:yVal>
            <c:numRef>
              <c:f>VesselCharacteristics!$U$4:$U$8</c:f>
              <c:numCache>
                <c:formatCode>#,##0.00000</c:formatCode>
                <c:ptCount val="5"/>
                <c:pt idx="0">
                  <c:v>7.8740157399999997E-2</c:v>
                </c:pt>
                <c:pt idx="1">
                  <c:v>7.8740157399999997E-2</c:v>
                </c:pt>
                <c:pt idx="2">
                  <c:v>0.19526055846012313</c:v>
                </c:pt>
                <c:pt idx="3">
                  <c:v>0.19526055846012313</c:v>
                </c:pt>
                <c:pt idx="4">
                  <c:v>0.16624427130193914</c:v>
                </c:pt>
              </c:numCache>
            </c:numRef>
          </c:yVal>
          <c:smooth val="0"/>
        </c:ser>
        <c:ser>
          <c:idx val="6"/>
          <c:order val="6"/>
          <c:tx>
            <c:strRef>
              <c:f>VesselCharacteristics!$V$3</c:f>
              <c:strCache>
                <c:ptCount val="1"/>
                <c:pt idx="0">
                  <c:v>y-tube-bottom-lower</c:v>
                </c:pt>
              </c:strCache>
            </c:strRef>
          </c:tx>
          <c:spPr>
            <a:ln>
              <a:solidFill>
                <a:srgbClr val="FFC000"/>
              </a:solidFill>
            </a:ln>
          </c:spPr>
          <c:marker>
            <c:symbol val="diamond"/>
            <c:size val="7"/>
            <c:spPr>
              <a:solidFill>
                <a:srgbClr val="FFC000"/>
              </a:solidFill>
              <a:ln>
                <a:solidFill>
                  <a:srgbClr val="FFC000"/>
                </a:solidFill>
              </a:ln>
            </c:spPr>
          </c:marker>
          <c:xVal>
            <c:numRef>
              <c:f>VesselCharacteristics!$N$4:$N$8</c:f>
              <c:numCache>
                <c:formatCode>#,##0.00000</c:formatCode>
                <c:ptCount val="5"/>
                <c:pt idx="0" formatCode="General">
                  <c:v>0</c:v>
                </c:pt>
                <c:pt idx="1">
                  <c:v>2.4999999974500002</c:v>
                </c:pt>
                <c:pt idx="2">
                  <c:v>2.9348600543246821</c:v>
                </c:pt>
                <c:pt idx="3">
                  <c:v>2.9742301330246823</c:v>
                </c:pt>
                <c:pt idx="4">
                  <c:v>3.3058878128746678</c:v>
                </c:pt>
              </c:numCache>
            </c:numRef>
          </c:xVal>
          <c:yVal>
            <c:numRef>
              <c:f>VesselCharacteristics!$V$4:$V$8</c:f>
              <c:numCache>
                <c:formatCode>#,##0.00000</c:formatCode>
                <c:ptCount val="5"/>
                <c:pt idx="0" formatCode="#,##0.0000000000000">
                  <c:v>7.8740157399999997E-2</c:v>
                </c:pt>
                <c:pt idx="1">
                  <c:v>7.8740157399999997E-2</c:v>
                </c:pt>
                <c:pt idx="2">
                  <c:v>0.19526055846012313</c:v>
                </c:pt>
                <c:pt idx="3">
                  <c:v>0.19526055846012313</c:v>
                </c:pt>
                <c:pt idx="4">
                  <c:v>0.16624427130193914</c:v>
                </c:pt>
              </c:numCache>
            </c:numRef>
          </c:yVal>
          <c:smooth val="0"/>
        </c:ser>
        <c:dLbls>
          <c:showLegendKey val="0"/>
          <c:showVal val="0"/>
          <c:showCatName val="0"/>
          <c:showSerName val="0"/>
          <c:showPercent val="0"/>
          <c:showBubbleSize val="0"/>
        </c:dLbls>
        <c:axId val="210843136"/>
        <c:axId val="210845696"/>
      </c:scatterChart>
      <c:valAx>
        <c:axId val="210843136"/>
        <c:scaling>
          <c:orientation val="minMax"/>
        </c:scaling>
        <c:delete val="0"/>
        <c:axPos val="b"/>
        <c:majorGridlines>
          <c:spPr>
            <a:ln>
              <a:solidFill>
                <a:schemeClr val="bg1">
                  <a:lumMod val="75000"/>
                </a:schemeClr>
              </a:solidFill>
            </a:ln>
          </c:spPr>
        </c:majorGridlines>
        <c:title>
          <c:tx>
            <c:rich>
              <a:bodyPr/>
              <a:lstStyle/>
              <a:p>
                <a:pPr>
                  <a:defRPr/>
                </a:pPr>
                <a:r>
                  <a:rPr lang="en-US"/>
                  <a:t>Length (inches)</a:t>
                </a:r>
              </a:p>
            </c:rich>
          </c:tx>
          <c:layout/>
          <c:overlay val="0"/>
        </c:title>
        <c:numFmt formatCode="General" sourceLinked="1"/>
        <c:majorTickMark val="out"/>
        <c:minorTickMark val="none"/>
        <c:tickLblPos val="nextTo"/>
        <c:crossAx val="210845696"/>
        <c:crosses val="autoZero"/>
        <c:crossBetween val="midCat"/>
      </c:valAx>
      <c:valAx>
        <c:axId val="210845696"/>
        <c:scaling>
          <c:orientation val="minMax"/>
          <c:min val="0"/>
        </c:scaling>
        <c:delete val="0"/>
        <c:axPos val="l"/>
        <c:majorGridlines>
          <c:spPr>
            <a:ln>
              <a:solidFill>
                <a:schemeClr val="bg1">
                  <a:lumMod val="65000"/>
                </a:schemeClr>
              </a:solidFill>
            </a:ln>
          </c:spPr>
        </c:majorGridlines>
        <c:title>
          <c:tx>
            <c:rich>
              <a:bodyPr rot="-5400000" vert="horz"/>
              <a:lstStyle/>
              <a:p>
                <a:pPr>
                  <a:defRPr/>
                </a:pPr>
                <a:r>
                  <a:rPr lang="en-US"/>
                  <a:t>Height (inches)</a:t>
                </a:r>
              </a:p>
            </c:rich>
          </c:tx>
          <c:layout/>
          <c:overlay val="0"/>
        </c:title>
        <c:numFmt formatCode="#,##0.00000" sourceLinked="1"/>
        <c:majorTickMark val="out"/>
        <c:minorTickMark val="none"/>
        <c:tickLblPos val="nextTo"/>
        <c:crossAx val="210843136"/>
        <c:crossesAt val="0"/>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Design vs. Predicted Mass Flows over a Variety of Chamber Pressures</a:t>
            </a:r>
            <a:endParaRPr lang="en-US">
              <a:effectLst/>
            </a:endParaRPr>
          </a:p>
        </c:rich>
      </c:tx>
      <c:layout/>
      <c:overlay val="0"/>
    </c:title>
    <c:autoTitleDeleted val="0"/>
    <c:plotArea>
      <c:layout/>
      <c:scatterChart>
        <c:scatterStyle val="smoothMarker"/>
        <c:varyColors val="0"/>
        <c:ser>
          <c:idx val="0"/>
          <c:order val="0"/>
          <c:tx>
            <c:strRef>
              <c:f>VesselCharacteristics!$Y$2</c:f>
              <c:strCache>
                <c:ptCount val="1"/>
                <c:pt idx="0">
                  <c:v>gas choked</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VesselCharacteristics!$Y$3:$Y$22</c:f>
              <c:numCache>
                <c:formatCode>General</c:formatCode>
                <c:ptCount val="20"/>
                <c:pt idx="0">
                  <c:v>3.1524303261817135E-3</c:v>
                </c:pt>
                <c:pt idx="1">
                  <c:v>3.1524303261817135E-3</c:v>
                </c:pt>
                <c:pt idx="2">
                  <c:v>3.1524303261817135E-3</c:v>
                </c:pt>
                <c:pt idx="3">
                  <c:v>3.1524303261817135E-3</c:v>
                </c:pt>
                <c:pt idx="4">
                  <c:v>3.1524303261817135E-3</c:v>
                </c:pt>
                <c:pt idx="5">
                  <c:v>3.1524303261817135E-3</c:v>
                </c:pt>
                <c:pt idx="6">
                  <c:v>3.1524303261817135E-3</c:v>
                </c:pt>
                <c:pt idx="7">
                  <c:v>3.1524303261817135E-3</c:v>
                </c:pt>
                <c:pt idx="8">
                  <c:v>3.1524303261817135E-3</c:v>
                </c:pt>
                <c:pt idx="9">
                  <c:v>3.1524303261817135E-3</c:v>
                </c:pt>
                <c:pt idx="10">
                  <c:v>3.1524303261817135E-3</c:v>
                </c:pt>
                <c:pt idx="11">
                  <c:v>3.1524303261817135E-3</c:v>
                </c:pt>
                <c:pt idx="12">
                  <c:v>3.1524303261817135E-3</c:v>
                </c:pt>
                <c:pt idx="13">
                  <c:v>3.1524303261817135E-3</c:v>
                </c:pt>
                <c:pt idx="14">
                  <c:v>3.1524303261817135E-3</c:v>
                </c:pt>
                <c:pt idx="15">
                  <c:v>3.1524303261817135E-3</c:v>
                </c:pt>
                <c:pt idx="16">
                  <c:v>3.1524303261817135E-3</c:v>
                </c:pt>
                <c:pt idx="17">
                  <c:v>3.1524303261817135E-3</c:v>
                </c:pt>
                <c:pt idx="18">
                  <c:v>3.1524303261817135E-3</c:v>
                </c:pt>
                <c:pt idx="19">
                  <c:v>3.1524303261817135E-3</c:v>
                </c:pt>
              </c:numCache>
            </c:numRef>
          </c:yVal>
          <c:smooth val="1"/>
        </c:ser>
        <c:ser>
          <c:idx val="1"/>
          <c:order val="1"/>
          <c:tx>
            <c:strRef>
              <c:f>VesselCharacteristics!$Z$2</c:f>
              <c:strCache>
                <c:ptCount val="1"/>
                <c:pt idx="0">
                  <c:v>gas non-choked</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VesselCharacteristics!$Z$3:$Z$22</c:f>
              <c:numCache>
                <c:formatCode>General</c:formatCode>
                <c:ptCount val="20"/>
                <c:pt idx="0">
                  <c:v>3.4364786721251699E-3</c:v>
                </c:pt>
                <c:pt idx="1">
                  <c:v>3.9889891649264354E-3</c:v>
                </c:pt>
                <c:pt idx="2">
                  <c:v>4.4815677158591789E-3</c:v>
                </c:pt>
                <c:pt idx="3">
                  <c:v>4.9272152931371096E-3</c:v>
                </c:pt>
                <c:pt idx="4">
                  <c:v>5.3344341884130507E-3</c:v>
                </c:pt>
                <c:pt idx="5">
                  <c:v>5.7091755673069145E-3</c:v>
                </c:pt>
                <c:pt idx="6">
                  <c:v>6.0558122712561302E-3</c:v>
                </c:pt>
                <c:pt idx="7">
                  <c:v>6.3776766694713842E-3</c:v>
                </c:pt>
                <c:pt idx="8">
                  <c:v>6.6773811136391827E-3</c:v>
                </c:pt>
                <c:pt idx="9">
                  <c:v>6.9570201750773324E-3</c:v>
                </c:pt>
                <c:pt idx="10">
                  <c:v>7.2183042498293317E-3</c:v>
                </c:pt>
                <c:pt idx="11">
                  <c:v>7.4626511746095914E-3</c:v>
                </c:pt>
                <c:pt idx="12">
                  <c:v>7.6912510243516462E-3</c:v>
                </c:pt>
                <c:pt idx="13">
                  <c:v>7.9051131528406343E-3</c:v>
                </c:pt>
                <c:pt idx="14">
                  <c:v>8.1051011105042498E-3</c:v>
                </c:pt>
                <c:pt idx="15">
                  <c:v>8.2919590642584126E-3</c:v>
                </c:pt>
                <c:pt idx="16">
                  <c:v>8.466332121405162E-3</c:v>
                </c:pt>
                <c:pt idx="17">
                  <c:v>8.628782190630159E-3</c:v>
                </c:pt>
                <c:pt idx="18">
                  <c:v>8.7798005156577985E-3</c:v>
                </c:pt>
                <c:pt idx="19">
                  <c:v>8.919817687046765E-3</c:v>
                </c:pt>
              </c:numCache>
            </c:numRef>
          </c:yVal>
          <c:smooth val="1"/>
        </c:ser>
        <c:ser>
          <c:idx val="3"/>
          <c:order val="2"/>
          <c:tx>
            <c:strRef>
              <c:f>VesselCharacteristics!$AB$2</c:f>
              <c:strCache>
                <c:ptCount val="1"/>
                <c:pt idx="0">
                  <c:v>gas (cumulative)</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VesselCharacteristics!$AB$3:$AB$22</c:f>
              <c:numCache>
                <c:formatCode>General</c:formatCode>
                <c:ptCount val="20"/>
                <c:pt idx="0">
                  <c:v>3.1524303261817135E-3</c:v>
                </c:pt>
                <c:pt idx="1">
                  <c:v>3.1524303261817135E-3</c:v>
                </c:pt>
                <c:pt idx="2">
                  <c:v>3.1524303261817135E-3</c:v>
                </c:pt>
                <c:pt idx="3">
                  <c:v>3.1524303261817135E-3</c:v>
                </c:pt>
                <c:pt idx="4">
                  <c:v>3.1524303261817135E-3</c:v>
                </c:pt>
                <c:pt idx="5">
                  <c:v>3.1524303261817135E-3</c:v>
                </c:pt>
                <c:pt idx="6">
                  <c:v>3.1524303261817135E-3</c:v>
                </c:pt>
                <c:pt idx="7">
                  <c:v>3.1524303261817135E-3</c:v>
                </c:pt>
                <c:pt idx="8">
                  <c:v>3.1524303261817135E-3</c:v>
                </c:pt>
                <c:pt idx="9">
                  <c:v>3.1524303261817135E-3</c:v>
                </c:pt>
                <c:pt idx="10">
                  <c:v>3.1524303261817135E-3</c:v>
                </c:pt>
                <c:pt idx="11">
                  <c:v>3.1524303261817135E-3</c:v>
                </c:pt>
                <c:pt idx="12">
                  <c:v>3.1524303261817135E-3</c:v>
                </c:pt>
                <c:pt idx="13">
                  <c:v>3.1524303261817135E-3</c:v>
                </c:pt>
                <c:pt idx="14">
                  <c:v>3.1524303261817135E-3</c:v>
                </c:pt>
                <c:pt idx="15">
                  <c:v>3.1524303261817135E-3</c:v>
                </c:pt>
                <c:pt idx="16">
                  <c:v>3.1524303261817135E-3</c:v>
                </c:pt>
                <c:pt idx="17">
                  <c:v>3.1524303261817135E-3</c:v>
                </c:pt>
                <c:pt idx="18">
                  <c:v>3.1524303261817135E-3</c:v>
                </c:pt>
                <c:pt idx="19">
                  <c:v>3.1524303261817135E-3</c:v>
                </c:pt>
              </c:numCache>
            </c:numRef>
          </c:yVal>
          <c:smooth val="1"/>
        </c:ser>
        <c:ser>
          <c:idx val="4"/>
          <c:order val="3"/>
          <c:tx>
            <c:strRef>
              <c:f>VesselCharacteristics!$AC$2</c:f>
              <c:strCache>
                <c:ptCount val="1"/>
                <c:pt idx="0">
                  <c:v>liquid</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VesselCharacteristics!$AC$3:$AC$22</c:f>
              <c:numCache>
                <c:formatCode>General</c:formatCode>
                <c:ptCount val="20"/>
                <c:pt idx="0">
                  <c:v>3.2982837009541415E-3</c:v>
                </c:pt>
                <c:pt idx="1">
                  <c:v>3.2601778872750962E-3</c:v>
                </c:pt>
                <c:pt idx="2">
                  <c:v>3.2216213839269311E-3</c:v>
                </c:pt>
                <c:pt idx="3">
                  <c:v>3.1825978109200404E-3</c:v>
                </c:pt>
                <c:pt idx="4">
                  <c:v>3.1430897713509232E-3</c:v>
                </c:pt>
                <c:pt idx="5">
                  <c:v>3.1030787607581865E-3</c:v>
                </c:pt>
                <c:pt idx="6">
                  <c:v>3.0625450658180241E-3</c:v>
                </c:pt>
                <c:pt idx="7">
                  <c:v>3.0214676508054966E-3</c:v>
                </c:pt>
                <c:pt idx="8">
                  <c:v>2.9798240299658382E-3</c:v>
                </c:pt>
                <c:pt idx="9">
                  <c:v>2.9375901235978467E-3</c:v>
                </c:pt>
                <c:pt idx="10">
                  <c:v>2.8947400952343497E-3</c:v>
                </c:pt>
                <c:pt idx="11">
                  <c:v>2.8512461667935893E-3</c:v>
                </c:pt>
                <c:pt idx="12">
                  <c:v>2.8070784079453313E-3</c:v>
                </c:pt>
                <c:pt idx="13">
                  <c:v>2.7622044951543072E-3</c:v>
                </c:pt>
                <c:pt idx="14">
                  <c:v>2.7165894348886114E-3</c:v>
                </c:pt>
                <c:pt idx="15">
                  <c:v>2.6701952442557799E-3</c:v>
                </c:pt>
                <c:pt idx="16">
                  <c:v>2.6229805807790395E-3</c:v>
                </c:pt>
                <c:pt idx="17">
                  <c:v>2.5749003110492863E-3</c:v>
                </c:pt>
                <c:pt idx="18">
                  <c:v>2.5259050054464586E-3</c:v>
                </c:pt>
                <c:pt idx="19">
                  <c:v>2.4759403428267885E-3</c:v>
                </c:pt>
              </c:numCache>
            </c:numRef>
          </c:yVal>
          <c:smooth val="1"/>
        </c:ser>
        <c:ser>
          <c:idx val="5"/>
          <c:order val="4"/>
          <c:tx>
            <c:strRef>
              <c:f>VesselCharacteristics!$AD$2</c:f>
              <c:strCache>
                <c:ptCount val="1"/>
                <c:pt idx="0">
                  <c:v>total mass flow</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VesselCharacteristics!$AD$3:$AD$22</c:f>
              <c:numCache>
                <c:formatCode>General</c:formatCode>
                <c:ptCount val="20"/>
                <c:pt idx="0">
                  <c:v>6.4507140271358549E-3</c:v>
                </c:pt>
                <c:pt idx="1">
                  <c:v>6.4126082134568097E-3</c:v>
                </c:pt>
                <c:pt idx="2">
                  <c:v>6.3740517101086441E-3</c:v>
                </c:pt>
                <c:pt idx="3">
                  <c:v>6.3350281371017539E-3</c:v>
                </c:pt>
                <c:pt idx="4">
                  <c:v>6.2955200975326371E-3</c:v>
                </c:pt>
                <c:pt idx="5">
                  <c:v>6.2555090869399E-3</c:v>
                </c:pt>
                <c:pt idx="6">
                  <c:v>6.2149753919997375E-3</c:v>
                </c:pt>
                <c:pt idx="7">
                  <c:v>6.1738979769872101E-3</c:v>
                </c:pt>
                <c:pt idx="8">
                  <c:v>6.1322543561475517E-3</c:v>
                </c:pt>
                <c:pt idx="9">
                  <c:v>6.0900204497795606E-3</c:v>
                </c:pt>
                <c:pt idx="10">
                  <c:v>6.0471704214160628E-3</c:v>
                </c:pt>
                <c:pt idx="11">
                  <c:v>6.0036764929753024E-3</c:v>
                </c:pt>
                <c:pt idx="12">
                  <c:v>5.9595087341270444E-3</c:v>
                </c:pt>
                <c:pt idx="13">
                  <c:v>5.9146348213360202E-3</c:v>
                </c:pt>
                <c:pt idx="14">
                  <c:v>5.8690197610703244E-3</c:v>
                </c:pt>
                <c:pt idx="15">
                  <c:v>5.8226255704374938E-3</c:v>
                </c:pt>
                <c:pt idx="16">
                  <c:v>5.7754109069607529E-3</c:v>
                </c:pt>
                <c:pt idx="17">
                  <c:v>5.7273306372309998E-3</c:v>
                </c:pt>
                <c:pt idx="18">
                  <c:v>5.6783353316281725E-3</c:v>
                </c:pt>
                <c:pt idx="19">
                  <c:v>5.628370669008502E-3</c:v>
                </c:pt>
              </c:numCache>
            </c:numRef>
          </c:yVal>
          <c:smooth val="1"/>
        </c:ser>
        <c:ser>
          <c:idx val="7"/>
          <c:order val="6"/>
          <c:tx>
            <c:strRef>
              <c:f>VesselCharacteristics!$AF$2</c:f>
              <c:strCache>
                <c:ptCount val="1"/>
                <c:pt idx="0">
                  <c:v>Design Gas Flow</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VesselCharacteristics!$AF$3:$AF$22</c:f>
              <c:numCache>
                <c:formatCode>#,##0.000000000</c:formatCode>
                <c:ptCount val="20"/>
                <c:pt idx="0">
                  <c:v>3.1524303261817139E-3</c:v>
                </c:pt>
                <c:pt idx="1">
                  <c:v>3.1524303261817139E-3</c:v>
                </c:pt>
                <c:pt idx="2">
                  <c:v>3.1524303261817139E-3</c:v>
                </c:pt>
                <c:pt idx="3">
                  <c:v>3.1524303261817139E-3</c:v>
                </c:pt>
                <c:pt idx="4">
                  <c:v>3.1524303261817139E-3</c:v>
                </c:pt>
                <c:pt idx="5">
                  <c:v>3.1524303261817139E-3</c:v>
                </c:pt>
                <c:pt idx="6">
                  <c:v>3.1524303261817139E-3</c:v>
                </c:pt>
                <c:pt idx="7">
                  <c:v>3.1524303261817139E-3</c:v>
                </c:pt>
                <c:pt idx="8">
                  <c:v>3.1524303261817139E-3</c:v>
                </c:pt>
                <c:pt idx="9">
                  <c:v>3.1524303261817139E-3</c:v>
                </c:pt>
                <c:pt idx="10">
                  <c:v>3.1524303261817139E-3</c:v>
                </c:pt>
                <c:pt idx="11">
                  <c:v>3.1524303261817139E-3</c:v>
                </c:pt>
                <c:pt idx="12">
                  <c:v>3.1524303261817139E-3</c:v>
                </c:pt>
                <c:pt idx="13">
                  <c:v>3.1524303261817139E-3</c:v>
                </c:pt>
                <c:pt idx="14">
                  <c:v>3.1524303261817139E-3</c:v>
                </c:pt>
                <c:pt idx="15">
                  <c:v>3.1524303261817139E-3</c:v>
                </c:pt>
                <c:pt idx="16">
                  <c:v>3.1524303261817139E-3</c:v>
                </c:pt>
                <c:pt idx="17">
                  <c:v>3.1524303261817139E-3</c:v>
                </c:pt>
                <c:pt idx="18">
                  <c:v>3.1524303261817139E-3</c:v>
                </c:pt>
                <c:pt idx="19">
                  <c:v>3.1524303261817139E-3</c:v>
                </c:pt>
              </c:numCache>
            </c:numRef>
          </c:yVal>
          <c:smooth val="1"/>
        </c:ser>
        <c:ser>
          <c:idx val="8"/>
          <c:order val="7"/>
          <c:tx>
            <c:strRef>
              <c:f>VesselCharacteristics!$AG$2</c:f>
              <c:strCache>
                <c:ptCount val="1"/>
                <c:pt idx="0">
                  <c:v>Design Liquid Flow</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VesselCharacteristics!$AG$3:$AG$22</c:f>
              <c:numCache>
                <c:formatCode>#,##0.000000000</c:formatCode>
                <c:ptCount val="20"/>
                <c:pt idx="0">
                  <c:v>2.4249464047551646E-3</c:v>
                </c:pt>
                <c:pt idx="1">
                  <c:v>2.4249464047551646E-3</c:v>
                </c:pt>
                <c:pt idx="2">
                  <c:v>2.4249464047551646E-3</c:v>
                </c:pt>
                <c:pt idx="3">
                  <c:v>2.4249464047551646E-3</c:v>
                </c:pt>
                <c:pt idx="4">
                  <c:v>2.4249464047551646E-3</c:v>
                </c:pt>
                <c:pt idx="5">
                  <c:v>2.4249464047551646E-3</c:v>
                </c:pt>
                <c:pt idx="6">
                  <c:v>2.4249464047551646E-3</c:v>
                </c:pt>
                <c:pt idx="7">
                  <c:v>2.4249464047551646E-3</c:v>
                </c:pt>
                <c:pt idx="8">
                  <c:v>2.4249464047551646E-3</c:v>
                </c:pt>
                <c:pt idx="9">
                  <c:v>2.4249464047551646E-3</c:v>
                </c:pt>
                <c:pt idx="10">
                  <c:v>2.4249464047551646E-3</c:v>
                </c:pt>
                <c:pt idx="11">
                  <c:v>2.4249464047551646E-3</c:v>
                </c:pt>
                <c:pt idx="12">
                  <c:v>2.4249464047551646E-3</c:v>
                </c:pt>
                <c:pt idx="13">
                  <c:v>2.4249464047551646E-3</c:v>
                </c:pt>
                <c:pt idx="14">
                  <c:v>2.4249464047551646E-3</c:v>
                </c:pt>
                <c:pt idx="15">
                  <c:v>2.4249464047551646E-3</c:v>
                </c:pt>
                <c:pt idx="16">
                  <c:v>2.4249464047551646E-3</c:v>
                </c:pt>
                <c:pt idx="17">
                  <c:v>2.4249464047551646E-3</c:v>
                </c:pt>
                <c:pt idx="18">
                  <c:v>2.4249464047551646E-3</c:v>
                </c:pt>
                <c:pt idx="19">
                  <c:v>2.4249464047551646E-3</c:v>
                </c:pt>
              </c:numCache>
            </c:numRef>
          </c:yVal>
          <c:smooth val="1"/>
        </c:ser>
        <c:ser>
          <c:idx val="9"/>
          <c:order val="8"/>
          <c:tx>
            <c:strRef>
              <c:f>VesselCharacteristics!$AH$2</c:f>
              <c:strCache>
                <c:ptCount val="1"/>
                <c:pt idx="0">
                  <c:v>Design total mass flow</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VesselCharacteristics!$AH$3:$AH$22</c:f>
              <c:numCache>
                <c:formatCode>#,##0.000000000</c:formatCode>
                <c:ptCount val="20"/>
                <c:pt idx="0">
                  <c:v>5.5773767309368789E-3</c:v>
                </c:pt>
                <c:pt idx="1">
                  <c:v>5.5773767309368789E-3</c:v>
                </c:pt>
                <c:pt idx="2">
                  <c:v>5.5773767309368789E-3</c:v>
                </c:pt>
                <c:pt idx="3">
                  <c:v>5.5773767309368789E-3</c:v>
                </c:pt>
                <c:pt idx="4">
                  <c:v>5.5773767309368789E-3</c:v>
                </c:pt>
                <c:pt idx="5">
                  <c:v>5.5773767309368789E-3</c:v>
                </c:pt>
                <c:pt idx="6">
                  <c:v>5.5773767309368789E-3</c:v>
                </c:pt>
                <c:pt idx="7">
                  <c:v>5.5773767309368789E-3</c:v>
                </c:pt>
                <c:pt idx="8">
                  <c:v>5.5773767309368789E-3</c:v>
                </c:pt>
                <c:pt idx="9">
                  <c:v>5.5773767309368789E-3</c:v>
                </c:pt>
                <c:pt idx="10">
                  <c:v>5.5773767309368789E-3</c:v>
                </c:pt>
                <c:pt idx="11">
                  <c:v>5.5773767309368789E-3</c:v>
                </c:pt>
                <c:pt idx="12">
                  <c:v>5.5773767309368789E-3</c:v>
                </c:pt>
                <c:pt idx="13">
                  <c:v>5.5773767309368789E-3</c:v>
                </c:pt>
                <c:pt idx="14">
                  <c:v>5.5773767309368789E-3</c:v>
                </c:pt>
                <c:pt idx="15">
                  <c:v>5.5773767309368789E-3</c:v>
                </c:pt>
                <c:pt idx="16">
                  <c:v>5.5773767309368789E-3</c:v>
                </c:pt>
                <c:pt idx="17">
                  <c:v>5.5773767309368789E-3</c:v>
                </c:pt>
                <c:pt idx="18">
                  <c:v>5.5773767309368789E-3</c:v>
                </c:pt>
                <c:pt idx="19">
                  <c:v>5.5773767309368789E-3</c:v>
                </c:pt>
              </c:numCache>
            </c:numRef>
          </c:yVal>
          <c:smooth val="1"/>
        </c:ser>
        <c:dLbls>
          <c:showLegendKey val="0"/>
          <c:showVal val="0"/>
          <c:showCatName val="0"/>
          <c:showSerName val="0"/>
          <c:showPercent val="0"/>
          <c:showBubbleSize val="0"/>
        </c:dLbls>
        <c:axId val="211435904"/>
        <c:axId val="211437824"/>
      </c:scatterChart>
      <c:scatterChart>
        <c:scatterStyle val="smoothMarker"/>
        <c:varyColors val="0"/>
        <c:ser>
          <c:idx val="6"/>
          <c:order val="5"/>
          <c:tx>
            <c:strRef>
              <c:f>VesselCharacteristics!$AE$2</c:f>
              <c:strCache>
                <c:ptCount val="1"/>
                <c:pt idx="0">
                  <c:v>O/F Ratio</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VesselCharacteristics!$AE$3:$AE$22</c:f>
              <c:numCache>
                <c:formatCode>General</c:formatCode>
                <c:ptCount val="20"/>
                <c:pt idx="0">
                  <c:v>0.95577900872194987</c:v>
                </c:pt>
                <c:pt idx="1">
                  <c:v>0.96695040429728218</c:v>
                </c:pt>
                <c:pt idx="2">
                  <c:v>0.97852290834347566</c:v>
                </c:pt>
                <c:pt idx="3">
                  <c:v>0.99052111308729707</c:v>
                </c:pt>
                <c:pt idx="4">
                  <c:v>1.0029717747535971</c:v>
                </c:pt>
                <c:pt idx="5">
                  <c:v>1.0159040647139324</c:v>
                </c:pt>
                <c:pt idx="6">
                  <c:v>1.0293498572043642</c:v>
                </c:pt>
                <c:pt idx="7">
                  <c:v>1.0433440600766661</c:v>
                </c:pt>
                <c:pt idx="8">
                  <c:v>1.057924996402507</c:v>
                </c:pt>
                <c:pt idx="9">
                  <c:v>1.0731348464368946</c:v>
                </c:pt>
                <c:pt idx="10">
                  <c:v>1.0890201615584083</c:v>
                </c:pt>
                <c:pt idx="11">
                  <c:v>1.1056324644626616</c:v>
                </c:pt>
                <c:pt idx="12">
                  <c:v>1.123028953255768</c:v>
                </c:pt>
                <c:pt idx="13">
                  <c:v>1.1412733313959822</c:v>
                </c:pt>
                <c:pt idx="14">
                  <c:v>1.1604367909613742</c:v>
                </c:pt>
                <c:pt idx="15">
                  <c:v>1.1805991838848995</c:v>
                </c:pt>
                <c:pt idx="16">
                  <c:v>1.2018504251546631</c:v>
                </c:pt>
                <c:pt idx="17">
                  <c:v>1.2242921843048287</c:v>
                </c:pt>
                <c:pt idx="18">
                  <c:v>1.2480399379170299</c:v>
                </c:pt>
                <c:pt idx="19">
                  <c:v>1.2732254778734184</c:v>
                </c:pt>
              </c:numCache>
            </c:numRef>
          </c:yVal>
          <c:smooth val="1"/>
        </c:ser>
        <c:ser>
          <c:idx val="10"/>
          <c:order val="9"/>
          <c:tx>
            <c:strRef>
              <c:f>VesselCharacteristics!$AI$2</c:f>
              <c:strCache>
                <c:ptCount val="1"/>
                <c:pt idx="0">
                  <c:v>Design O/F Ratio</c:v>
                </c:pt>
              </c:strCache>
            </c:strRef>
          </c:tx>
          <c:xVal>
            <c:numRef>
              <c:f>VesselCharacteristics!$X$3:$X$22</c:f>
              <c:numCache>
                <c:formatCode>0</c:formatCode>
                <c:ptCount val="20"/>
                <c:pt idx="0">
                  <c:v>15</c:v>
                </c:pt>
                <c:pt idx="1">
                  <c:v>19.25</c:v>
                </c:pt>
                <c:pt idx="2">
                  <c:v>23.5</c:v>
                </c:pt>
                <c:pt idx="3">
                  <c:v>27.75</c:v>
                </c:pt>
                <c:pt idx="4">
                  <c:v>32</c:v>
                </c:pt>
                <c:pt idx="5">
                  <c:v>36.25</c:v>
                </c:pt>
                <c:pt idx="6">
                  <c:v>40.5</c:v>
                </c:pt>
                <c:pt idx="7">
                  <c:v>44.75</c:v>
                </c:pt>
                <c:pt idx="8">
                  <c:v>49</c:v>
                </c:pt>
                <c:pt idx="9">
                  <c:v>53.25</c:v>
                </c:pt>
                <c:pt idx="10">
                  <c:v>57.5</c:v>
                </c:pt>
                <c:pt idx="11">
                  <c:v>61.75</c:v>
                </c:pt>
                <c:pt idx="12">
                  <c:v>66</c:v>
                </c:pt>
                <c:pt idx="13">
                  <c:v>70.25</c:v>
                </c:pt>
                <c:pt idx="14">
                  <c:v>74.5</c:v>
                </c:pt>
                <c:pt idx="15">
                  <c:v>78.75</c:v>
                </c:pt>
                <c:pt idx="16">
                  <c:v>83</c:v>
                </c:pt>
                <c:pt idx="17">
                  <c:v>87.25</c:v>
                </c:pt>
                <c:pt idx="18">
                  <c:v>91.5</c:v>
                </c:pt>
                <c:pt idx="19">
                  <c:v>95.75</c:v>
                </c:pt>
              </c:numCache>
            </c:numRef>
          </c:xVal>
          <c:yVal>
            <c:numRef>
              <c:f>VesselCharacteristics!$AI$3:$AI$22</c:f>
              <c:numCache>
                <c:formatCode>General</c:formatCode>
                <c:ptCount val="20"/>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numCache>
            </c:numRef>
          </c:yVal>
          <c:smooth val="1"/>
        </c:ser>
        <c:dLbls>
          <c:showLegendKey val="0"/>
          <c:showVal val="0"/>
          <c:showCatName val="0"/>
          <c:showSerName val="0"/>
          <c:showPercent val="0"/>
          <c:showBubbleSize val="0"/>
        </c:dLbls>
        <c:axId val="211446016"/>
        <c:axId val="211444096"/>
      </c:scatterChart>
      <c:valAx>
        <c:axId val="211435904"/>
        <c:scaling>
          <c:orientation val="minMax"/>
        </c:scaling>
        <c:delete val="0"/>
        <c:axPos val="b"/>
        <c:title>
          <c:tx>
            <c:rich>
              <a:bodyPr/>
              <a:lstStyle/>
              <a:p>
                <a:pPr>
                  <a:defRPr sz="1200"/>
                </a:pPr>
                <a:r>
                  <a:rPr lang="en-US" sz="1200"/>
                  <a:t>PSIA</a:t>
                </a:r>
              </a:p>
            </c:rich>
          </c:tx>
          <c:layout/>
          <c:overlay val="0"/>
        </c:title>
        <c:numFmt formatCode="0" sourceLinked="1"/>
        <c:majorTickMark val="out"/>
        <c:minorTickMark val="none"/>
        <c:tickLblPos val="nextTo"/>
        <c:crossAx val="211437824"/>
        <c:crosses val="autoZero"/>
        <c:crossBetween val="midCat"/>
      </c:valAx>
      <c:valAx>
        <c:axId val="211437824"/>
        <c:scaling>
          <c:orientation val="minMax"/>
        </c:scaling>
        <c:delete val="0"/>
        <c:axPos val="l"/>
        <c:majorGridlines/>
        <c:title>
          <c:tx>
            <c:rich>
              <a:bodyPr rot="-5400000" vert="horz"/>
              <a:lstStyle/>
              <a:p>
                <a:pPr>
                  <a:defRPr sz="1200"/>
                </a:pPr>
                <a:r>
                  <a:rPr lang="en-US" sz="1200"/>
                  <a:t>Kg/sec</a:t>
                </a:r>
              </a:p>
            </c:rich>
          </c:tx>
          <c:layout/>
          <c:overlay val="0"/>
        </c:title>
        <c:numFmt formatCode="General" sourceLinked="1"/>
        <c:majorTickMark val="out"/>
        <c:minorTickMark val="none"/>
        <c:tickLblPos val="nextTo"/>
        <c:crossAx val="211435904"/>
        <c:crosses val="autoZero"/>
        <c:crossBetween val="midCat"/>
      </c:valAx>
      <c:valAx>
        <c:axId val="211444096"/>
        <c:scaling>
          <c:orientation val="minMax"/>
        </c:scaling>
        <c:delete val="0"/>
        <c:axPos val="r"/>
        <c:title>
          <c:tx>
            <c:rich>
              <a:bodyPr rot="-5400000" vert="horz"/>
              <a:lstStyle/>
              <a:p>
                <a:pPr>
                  <a:defRPr sz="1200"/>
                </a:pPr>
                <a:r>
                  <a:rPr lang="en-US" sz="1200"/>
                  <a:t>O/F Raio</a:t>
                </a:r>
              </a:p>
            </c:rich>
          </c:tx>
          <c:layout/>
          <c:overlay val="0"/>
        </c:title>
        <c:numFmt formatCode="General" sourceLinked="1"/>
        <c:majorTickMark val="out"/>
        <c:minorTickMark val="none"/>
        <c:tickLblPos val="nextTo"/>
        <c:crossAx val="211446016"/>
        <c:crosses val="max"/>
        <c:crossBetween val="midCat"/>
      </c:valAx>
      <c:valAx>
        <c:axId val="211446016"/>
        <c:scaling>
          <c:orientation val="minMax"/>
        </c:scaling>
        <c:delete val="1"/>
        <c:axPos val="b"/>
        <c:numFmt formatCode="0" sourceLinked="1"/>
        <c:majorTickMark val="out"/>
        <c:minorTickMark val="none"/>
        <c:tickLblPos val="nextTo"/>
        <c:crossAx val="2114440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95250</xdr:colOff>
      <xdr:row>68</xdr:row>
      <xdr:rowOff>35719</xdr:rowOff>
    </xdr:from>
    <xdr:to>
      <xdr:col>4</xdr:col>
      <xdr:colOff>1607344</xdr:colOff>
      <xdr:row>95</xdr:row>
      <xdr:rowOff>35720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2190749</xdr:colOff>
      <xdr:row>67</xdr:row>
      <xdr:rowOff>95249</xdr:rowOff>
    </xdr:from>
    <xdr:to>
      <xdr:col>8</xdr:col>
      <xdr:colOff>500063</xdr:colOff>
      <xdr:row>101</xdr:row>
      <xdr:rowOff>130969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18</xdr:col>
      <xdr:colOff>342476</xdr:colOff>
      <xdr:row>14</xdr:row>
      <xdr:rowOff>85533</xdr:rowOff>
    </xdr:to>
    <xdr:pic>
      <xdr:nvPicPr>
        <xdr:cNvPr id="4" name="Picture 3"/>
        <xdr:cNvPicPr>
          <a:picLocks noChangeAspect="1"/>
        </xdr:cNvPicPr>
      </xdr:nvPicPr>
      <xdr:blipFill>
        <a:blip xmlns:r="http://schemas.openxmlformats.org/officeDocument/2006/relationships" r:embed="rId1"/>
        <a:stretch>
          <a:fillRect/>
        </a:stretch>
      </xdr:blipFill>
      <xdr:spPr>
        <a:xfrm>
          <a:off x="15325725" y="809625"/>
          <a:ext cx="3390476" cy="15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X92"/>
  <sheetViews>
    <sheetView tabSelected="1" topLeftCell="A3" zoomScale="80" zoomScaleNormal="80" workbookViewId="0">
      <selection activeCell="B4" sqref="B4:G6"/>
    </sheetView>
  </sheetViews>
  <sheetFormatPr defaultRowHeight="12.75" x14ac:dyDescent="0.2"/>
  <cols>
    <col min="1" max="1" width="4.42578125" customWidth="1"/>
    <col min="2" max="2" width="38.85546875" bestFit="1" customWidth="1"/>
    <col min="3" max="3" width="31.5703125" customWidth="1"/>
    <col min="4" max="4" width="25.7109375" customWidth="1"/>
    <col min="5" max="5" width="49.5703125" bestFit="1" customWidth="1"/>
    <col min="6" max="6" width="32.42578125" customWidth="1"/>
    <col min="7" max="7" width="35.85546875" customWidth="1"/>
    <col min="8" max="8" width="53.42578125" customWidth="1"/>
    <col min="9" max="9" width="18.28515625" customWidth="1"/>
    <col min="10" max="10" width="20.28515625" bestFit="1" customWidth="1"/>
    <col min="11" max="11" width="24.85546875" bestFit="1" customWidth="1"/>
    <col min="12" max="12" width="19.140625" bestFit="1" customWidth="1"/>
    <col min="14" max="14" width="19.28515625" bestFit="1" customWidth="1"/>
    <col min="17" max="17" width="12.28515625" bestFit="1" customWidth="1"/>
    <col min="18" max="18" width="16.42578125" bestFit="1" customWidth="1"/>
    <col min="19" max="19" width="18.140625" bestFit="1" customWidth="1"/>
    <col min="20" max="20" width="18" bestFit="1" customWidth="1"/>
    <col min="21" max="22" width="19.28515625" bestFit="1" customWidth="1"/>
    <col min="24" max="24" width="11.28515625" bestFit="1" customWidth="1"/>
    <col min="25" max="25" width="12.7109375" bestFit="1" customWidth="1"/>
    <col min="26" max="26" width="17.28515625" bestFit="1" customWidth="1"/>
    <col min="27" max="27" width="16.42578125" bestFit="1" customWidth="1"/>
    <col min="28" max="28" width="17.7109375" bestFit="1" customWidth="1"/>
    <col min="29" max="29" width="13" bestFit="1" customWidth="1"/>
    <col min="30" max="30" width="16.5703125" bestFit="1" customWidth="1"/>
    <col min="31" max="31" width="13" bestFit="1" customWidth="1"/>
    <col min="32" max="32" width="17.7109375" bestFit="1" customWidth="1"/>
    <col min="33" max="33" width="20.140625" bestFit="1" customWidth="1"/>
    <col min="34" max="34" width="24.28515625" bestFit="1" customWidth="1"/>
    <col min="35" max="35" width="17.140625" bestFit="1" customWidth="1"/>
  </cols>
  <sheetData>
    <row r="1" spans="2:206" ht="13.5" thickBot="1" x14ac:dyDescent="0.25">
      <c r="C1" s="10"/>
    </row>
    <row r="2" spans="2:206" ht="18.75" thickBot="1" x14ac:dyDescent="0.3">
      <c r="C2" s="226" t="s">
        <v>223</v>
      </c>
      <c r="D2" s="227"/>
      <c r="E2" s="227"/>
      <c r="F2" s="227"/>
      <c r="G2" s="228"/>
      <c r="H2" s="20"/>
      <c r="N2" s="229" t="s">
        <v>64</v>
      </c>
      <c r="O2" s="230"/>
      <c r="P2" s="230"/>
      <c r="Q2" s="230"/>
      <c r="X2" s="5" t="s">
        <v>236</v>
      </c>
      <c r="Y2" s="5" t="s">
        <v>237</v>
      </c>
      <c r="Z2" s="5" t="s">
        <v>238</v>
      </c>
      <c r="AA2" s="5" t="s">
        <v>239</v>
      </c>
      <c r="AB2" s="5" t="s">
        <v>240</v>
      </c>
      <c r="AC2" s="5" t="s">
        <v>241</v>
      </c>
      <c r="AD2" s="5" t="s">
        <v>242</v>
      </c>
      <c r="AE2" s="5" t="s">
        <v>243</v>
      </c>
      <c r="AF2" s="5" t="s">
        <v>244</v>
      </c>
      <c r="AG2" s="5" t="s">
        <v>245</v>
      </c>
      <c r="AH2" s="5" t="s">
        <v>246</v>
      </c>
      <c r="AI2" s="5" t="s">
        <v>247</v>
      </c>
    </row>
    <row r="3" spans="2:206" ht="15.75" thickBot="1" x14ac:dyDescent="0.3">
      <c r="J3" s="196"/>
      <c r="N3" s="5" t="s">
        <v>1</v>
      </c>
      <c r="O3" s="5" t="s">
        <v>47</v>
      </c>
      <c r="P3" s="5" t="s">
        <v>48</v>
      </c>
      <c r="Q3" s="5" t="s">
        <v>63</v>
      </c>
      <c r="R3" s="5" t="s">
        <v>65</v>
      </c>
      <c r="S3" s="5" t="s">
        <v>160</v>
      </c>
      <c r="T3" s="150" t="s">
        <v>161</v>
      </c>
      <c r="U3" s="150" t="s">
        <v>162</v>
      </c>
      <c r="V3" s="150" t="s">
        <v>163</v>
      </c>
      <c r="W3" s="149"/>
      <c r="X3" s="224">
        <f>(($C$12-15)/20)*0+15</f>
        <v>15</v>
      </c>
      <c r="Y3">
        <f>$F$48*$F$57*SQRT($F$34*$F$28*($F$38*6894.75729)*(2/($F$34+1))^(($F$34+1)/($F$34-1)))</f>
        <v>3.1524303261817135E-3</v>
      </c>
      <c r="Z3">
        <f>$F$57*($F$48*($F$38*6894.75729)*SQRT(((2*$F$50*9.80665)/($F$36*8314.4621*$F$52))*($F$34/($F$34-1)) * (((X3*6894.75729)/($F$38*6894.75729))^(2/$F$34)- ((X3*6894.75729)/($F$38*6894.75729))^(($F$34+1)/$F$34))))</f>
        <v>3.4364786721251699E-3</v>
      </c>
      <c r="AA3" t="b">
        <f>IF(((2/($F$34+1))^($F$34/($F$34-1)))*($F$38*6894.75729)&gt;(X3*6894.75729),TRUE,FALSE)</f>
        <v>1</v>
      </c>
      <c r="AB3">
        <f>IF(AA3,Y3,Z3)</f>
        <v>3.1524303261817135E-3</v>
      </c>
      <c r="AC3">
        <f>$F$47*$F$53*SQRT(2*$F$27*(($F$37*6894.75729) - (X3*6894.75729)))</f>
        <v>3.2982837009541415E-3</v>
      </c>
      <c r="AD3">
        <f>AC3+AB3</f>
        <v>6.4507140271358549E-3</v>
      </c>
      <c r="AE3">
        <f>AB3/AC3</f>
        <v>0.95577900872194987</v>
      </c>
      <c r="AF3" s="225">
        <f>$F$26</f>
        <v>3.1524303261817139E-3</v>
      </c>
      <c r="AG3" s="225">
        <f>$F$25</f>
        <v>2.4249464047551646E-3</v>
      </c>
      <c r="AH3" s="225">
        <f>AG3+AF3</f>
        <v>5.5773767309368789E-3</v>
      </c>
      <c r="AI3">
        <f>AF3/AG3</f>
        <v>1.3</v>
      </c>
    </row>
    <row r="4" spans="2:206" ht="12.75" customHeight="1" x14ac:dyDescent="0.2">
      <c r="B4" s="231" t="s">
        <v>158</v>
      </c>
      <c r="C4" s="232"/>
      <c r="D4" s="232"/>
      <c r="E4" s="232"/>
      <c r="F4" s="232"/>
      <c r="G4" s="233"/>
      <c r="N4">
        <v>0</v>
      </c>
      <c r="O4" s="56">
        <f>C34+P4</f>
        <v>0.47628702300551584</v>
      </c>
      <c r="P4" s="58">
        <f>N4+C62+I23+I49</f>
        <v>7.8740157399999997E-2</v>
      </c>
      <c r="Q4" s="57">
        <f>T4+C62</f>
        <v>0.5550271804055158</v>
      </c>
      <c r="R4" s="58">
        <f>P4-C62</f>
        <v>0</v>
      </c>
      <c r="S4" s="56">
        <f>$I$23+O4</f>
        <v>0.47628702300551584</v>
      </c>
      <c r="T4" s="56">
        <f>$I$23+$I$49+O4</f>
        <v>0.47628702300551584</v>
      </c>
      <c r="U4" s="56">
        <f>P4-$I$23</f>
        <v>7.8740157399999997E-2</v>
      </c>
      <c r="V4" s="204">
        <f>P4-$I$23-$I$49</f>
        <v>7.8740157399999997E-2</v>
      </c>
      <c r="W4" s="10"/>
      <c r="X4" s="224">
        <f>(($C$12-15)/20)*1+15</f>
        <v>19.25</v>
      </c>
      <c r="Y4">
        <f t="shared" ref="Y4:Y22" si="0">$F$48*$F$57*SQRT($F$34*$F$28*($F$38*6894.75729)*(2/($F$34+1))^(($F$34+1)/($F$34-1)))</f>
        <v>3.1524303261817135E-3</v>
      </c>
      <c r="Z4">
        <f>$F$57*($F$48*($F$38*6894.75729)*SQRT(((2*$F$50*9.80665)/($F$36*8314.4621*$F$52))*($F$34/($F$34-1)) * (((X4*6894.75729)/($F$38*6894.75729))^(2/$F$34)- ((X4*6894.75729)/($F$38*6894.75729))^(($F$34+1)/$F$34))))</f>
        <v>3.9889891649264354E-3</v>
      </c>
      <c r="AA4" t="b">
        <f t="shared" ref="AA4:AA22" si="1">IF(((2/($F$34+1))^($F$34/($F$34-1)))*($F$38*6894.75729)&gt;(X4*6894.75729),TRUE,FALSE)</f>
        <v>1</v>
      </c>
      <c r="AB4">
        <f t="shared" ref="AB4:AB22" si="2">IF(AA4,Y4,Z4)</f>
        <v>3.1524303261817135E-3</v>
      </c>
      <c r="AC4">
        <f t="shared" ref="AC4:AC22" si="3">$F$47*$F$53*SQRT(2*$F$27*(($F$37*6894.75729) - (X4*6894.75729)))</f>
        <v>3.2601778872750962E-3</v>
      </c>
      <c r="AD4">
        <f t="shared" ref="AD4:AD22" si="4">AC4+AB4</f>
        <v>6.4126082134568097E-3</v>
      </c>
      <c r="AE4">
        <f t="shared" ref="AE4:AE22" si="5">AB4/AC4</f>
        <v>0.96695040429728218</v>
      </c>
      <c r="AF4" s="225">
        <f t="shared" ref="AF4:AF22" si="6">$F$26</f>
        <v>3.1524303261817139E-3</v>
      </c>
      <c r="AG4" s="225">
        <f t="shared" ref="AG4:AG22" si="7">$F$25</f>
        <v>2.4249464047551646E-3</v>
      </c>
      <c r="AH4" s="225">
        <f t="shared" ref="AH4:AH22" si="8">AG4+AF4</f>
        <v>5.5773767309368789E-3</v>
      </c>
      <c r="AI4">
        <f t="shared" ref="AI4:AI22" si="9">AF4/AG4</f>
        <v>1.3</v>
      </c>
    </row>
    <row r="5" spans="2:206" ht="15" x14ac:dyDescent="0.2">
      <c r="B5" s="234"/>
      <c r="C5" s="235"/>
      <c r="D5" s="235"/>
      <c r="E5" s="235"/>
      <c r="F5" s="235"/>
      <c r="G5" s="236"/>
      <c r="H5" s="22"/>
      <c r="I5" s="22"/>
      <c r="J5" s="22"/>
      <c r="K5" s="22"/>
      <c r="L5" s="22"/>
      <c r="N5" s="56">
        <f>C36+N4</f>
        <v>2.4999999974500002</v>
      </c>
      <c r="O5" s="56">
        <f>O4</f>
        <v>0.47628702300551584</v>
      </c>
      <c r="P5">
        <f>P4</f>
        <v>7.8740157399999997E-2</v>
      </c>
      <c r="Q5" s="57"/>
      <c r="S5" s="56">
        <f>$I$23+O5</f>
        <v>0.47628702300551584</v>
      </c>
      <c r="T5" s="56">
        <f>$I$23+$I$49+O5</f>
        <v>0.47628702300551584</v>
      </c>
      <c r="U5" s="56">
        <f>P5-$I$23</f>
        <v>7.8740157399999997E-2</v>
      </c>
      <c r="V5" s="56">
        <f>P5-$I$23-$I$49</f>
        <v>7.8740157399999997E-2</v>
      </c>
      <c r="X5" s="224">
        <f>(($C$12-15)/20)*2+15</f>
        <v>23.5</v>
      </c>
      <c r="Y5">
        <f t="shared" si="0"/>
        <v>3.1524303261817135E-3</v>
      </c>
      <c r="Z5">
        <f t="shared" ref="Z5:Z22" si="10">$F$57*($F$48*($F$38*6894.75729)*SQRT(((2*$F$50*9.80665)/($F$36*8314.4621*$F$52))*($F$34/($F$34-1)) * (((X5*6894.75729)/($F$38*6894.75729))^(2/$F$34)- ((X5*6894.75729)/($F$38*6894.75729))^(($F$34+1)/$F$34))))</f>
        <v>4.4815677158591789E-3</v>
      </c>
      <c r="AA5" t="b">
        <f t="shared" si="1"/>
        <v>1</v>
      </c>
      <c r="AB5">
        <f t="shared" si="2"/>
        <v>3.1524303261817135E-3</v>
      </c>
      <c r="AC5">
        <f t="shared" si="3"/>
        <v>3.2216213839269311E-3</v>
      </c>
      <c r="AD5">
        <f t="shared" si="4"/>
        <v>6.3740517101086441E-3</v>
      </c>
      <c r="AE5">
        <f t="shared" si="5"/>
        <v>0.97852290834347566</v>
      </c>
      <c r="AF5" s="225">
        <f t="shared" si="6"/>
        <v>3.1524303261817139E-3</v>
      </c>
      <c r="AG5" s="225">
        <f t="shared" si="7"/>
        <v>2.4249464047551646E-3</v>
      </c>
      <c r="AH5" s="225">
        <f t="shared" si="8"/>
        <v>5.5773767309368789E-3</v>
      </c>
      <c r="AI5">
        <f t="shared" si="9"/>
        <v>1.3</v>
      </c>
    </row>
    <row r="6" spans="2:206" ht="13.5" thickBot="1" x14ac:dyDescent="0.25">
      <c r="B6" s="237"/>
      <c r="C6" s="238"/>
      <c r="D6" s="238"/>
      <c r="E6" s="238"/>
      <c r="F6" s="238"/>
      <c r="G6" s="239"/>
      <c r="M6">
        <f>CONVERT(N6,"in","mm")</f>
        <v>74.545445379846925</v>
      </c>
      <c r="N6" s="56">
        <f>N5+C39</f>
        <v>2.9348600543246821</v>
      </c>
      <c r="O6">
        <f>O5-(C39*TAN(RADIANS(C37)))</f>
        <v>0.35976662194539272</v>
      </c>
      <c r="P6">
        <f>P5+(C39*TAN(RADIANS(C37)))</f>
        <v>0.19526055846012313</v>
      </c>
      <c r="Q6" s="10"/>
      <c r="S6" s="56">
        <f>$I$23+O6</f>
        <v>0.35976662194539272</v>
      </c>
      <c r="T6" s="56">
        <f>$I$23+$I$49+O6</f>
        <v>0.35976662194539272</v>
      </c>
      <c r="U6" s="56">
        <f>P6-$I$23</f>
        <v>0.19526055846012313</v>
      </c>
      <c r="V6" s="56">
        <f>P6-$I$23-$I$49</f>
        <v>0.19526055846012313</v>
      </c>
      <c r="X6" s="224">
        <f>(($C$12-15)/20)*3+15</f>
        <v>27.75</v>
      </c>
      <c r="Y6">
        <f t="shared" si="0"/>
        <v>3.1524303261817135E-3</v>
      </c>
      <c r="Z6">
        <f t="shared" si="10"/>
        <v>4.9272152931371096E-3</v>
      </c>
      <c r="AA6" t="b">
        <f t="shared" si="1"/>
        <v>1</v>
      </c>
      <c r="AB6">
        <f t="shared" si="2"/>
        <v>3.1524303261817135E-3</v>
      </c>
      <c r="AC6">
        <f t="shared" si="3"/>
        <v>3.1825978109200404E-3</v>
      </c>
      <c r="AD6">
        <f t="shared" si="4"/>
        <v>6.3350281371017539E-3</v>
      </c>
      <c r="AE6">
        <f t="shared" si="5"/>
        <v>0.99052111308729707</v>
      </c>
      <c r="AF6" s="225">
        <f t="shared" si="6"/>
        <v>3.1524303261817139E-3</v>
      </c>
      <c r="AG6" s="225">
        <f t="shared" si="7"/>
        <v>2.4249464047551646E-3</v>
      </c>
      <c r="AH6" s="225">
        <f t="shared" si="8"/>
        <v>5.5773767309368789E-3</v>
      </c>
      <c r="AI6">
        <f t="shared" si="9"/>
        <v>1.3</v>
      </c>
    </row>
    <row r="7" spans="2:206" ht="13.5" thickBot="1" x14ac:dyDescent="0.25">
      <c r="M7">
        <f>CONVERT(N7,"in","mm")</f>
        <v>75.545445378826926</v>
      </c>
      <c r="N7" s="56">
        <f>N6+C51</f>
        <v>2.9742301330246823</v>
      </c>
      <c r="O7">
        <f>O6</f>
        <v>0.35976662194539272</v>
      </c>
      <c r="P7">
        <f>P6</f>
        <v>0.19526055846012313</v>
      </c>
      <c r="Q7" s="10"/>
      <c r="S7" s="56">
        <f>$I$23+O7</f>
        <v>0.35976662194539272</v>
      </c>
      <c r="T7" s="56">
        <f>$I$23+$I$49+O7</f>
        <v>0.35976662194539272</v>
      </c>
      <c r="U7" s="56">
        <f>P7-$I$23</f>
        <v>0.19526055846012313</v>
      </c>
      <c r="V7" s="56">
        <f>P7-$I$23-$I$49</f>
        <v>0.19526055846012313</v>
      </c>
      <c r="W7" s="56"/>
      <c r="X7" s="224">
        <f>(($C$12-15)/20)*4+15</f>
        <v>32</v>
      </c>
      <c r="Y7">
        <f t="shared" si="0"/>
        <v>3.1524303261817135E-3</v>
      </c>
      <c r="Z7">
        <f t="shared" si="10"/>
        <v>5.3344341884130507E-3</v>
      </c>
      <c r="AA7" t="b">
        <f t="shared" si="1"/>
        <v>1</v>
      </c>
      <c r="AB7">
        <f t="shared" si="2"/>
        <v>3.1524303261817135E-3</v>
      </c>
      <c r="AC7">
        <f t="shared" si="3"/>
        <v>3.1430897713509232E-3</v>
      </c>
      <c r="AD7">
        <f t="shared" si="4"/>
        <v>6.2955200975326371E-3</v>
      </c>
      <c r="AE7">
        <f t="shared" si="5"/>
        <v>1.0029717747535971</v>
      </c>
      <c r="AF7" s="225">
        <f t="shared" si="6"/>
        <v>3.1524303261817139E-3</v>
      </c>
      <c r="AG7" s="225">
        <f t="shared" si="7"/>
        <v>2.4249464047551646E-3</v>
      </c>
      <c r="AH7" s="225">
        <f t="shared" si="8"/>
        <v>5.5773767309368789E-3</v>
      </c>
      <c r="AI7">
        <f t="shared" si="9"/>
        <v>1.3</v>
      </c>
    </row>
    <row r="8" spans="2:206" ht="15.75" x14ac:dyDescent="0.3">
      <c r="B8" s="93" t="s">
        <v>151</v>
      </c>
      <c r="C8" s="211">
        <f>5.7725/4.9981</f>
        <v>1.1549388767731739</v>
      </c>
      <c r="D8" s="3"/>
      <c r="E8" s="9" t="s">
        <v>3</v>
      </c>
      <c r="F8" s="124">
        <v>0</v>
      </c>
      <c r="G8" s="7" t="s">
        <v>6</v>
      </c>
      <c r="H8" s="171" t="s">
        <v>122</v>
      </c>
      <c r="I8" s="172">
        <v>1</v>
      </c>
      <c r="N8" s="56">
        <f>N7+C58</f>
        <v>3.3058878128746678</v>
      </c>
      <c r="O8">
        <f>O7+(C58*TAN(RADIANS(C56)))</f>
        <v>0.38878290910357671</v>
      </c>
      <c r="P8">
        <f>P7-(C58*TAN(RADIANS(C56)))</f>
        <v>0.16624427130193914</v>
      </c>
      <c r="Q8" s="57">
        <f>Q4</f>
        <v>0.5550271804055158</v>
      </c>
      <c r="R8" s="59">
        <f>R4</f>
        <v>0</v>
      </c>
      <c r="S8" s="56">
        <f>$I$23+O8</f>
        <v>0.38878290910357671</v>
      </c>
      <c r="T8" s="56">
        <f>$I$23+$I$49+O8</f>
        <v>0.38878290910357671</v>
      </c>
      <c r="U8" s="56">
        <f>P8-$I$23</f>
        <v>0.16624427130193914</v>
      </c>
      <c r="V8" s="56">
        <f>P8-$I$23-$I$49</f>
        <v>0.16624427130193914</v>
      </c>
      <c r="W8" s="10"/>
      <c r="X8" s="224">
        <f>(($C$12-15)/20)*5+15</f>
        <v>36.25</v>
      </c>
      <c r="Y8">
        <f t="shared" si="0"/>
        <v>3.1524303261817135E-3</v>
      </c>
      <c r="Z8">
        <f t="shared" si="10"/>
        <v>5.7091755673069145E-3</v>
      </c>
      <c r="AA8" t="b">
        <f t="shared" si="1"/>
        <v>1</v>
      </c>
      <c r="AB8">
        <f t="shared" si="2"/>
        <v>3.1524303261817135E-3</v>
      </c>
      <c r="AC8">
        <f t="shared" si="3"/>
        <v>3.1030787607581865E-3</v>
      </c>
      <c r="AD8">
        <f t="shared" si="4"/>
        <v>6.2555090869399E-3</v>
      </c>
      <c r="AE8">
        <f t="shared" si="5"/>
        <v>1.0159040647139324</v>
      </c>
      <c r="AF8" s="225">
        <f t="shared" si="6"/>
        <v>3.1524303261817139E-3</v>
      </c>
      <c r="AG8" s="225">
        <f t="shared" si="7"/>
        <v>2.4249464047551646E-3</v>
      </c>
      <c r="AH8" s="225">
        <f t="shared" si="8"/>
        <v>5.5773767309368789E-3</v>
      </c>
      <c r="AI8">
        <f t="shared" si="9"/>
        <v>1.3</v>
      </c>
    </row>
    <row r="9" spans="2:206" ht="15.75" x14ac:dyDescent="0.3">
      <c r="B9" s="86" t="s">
        <v>142</v>
      </c>
      <c r="C9" s="125">
        <v>21.4</v>
      </c>
      <c r="E9" s="27" t="s">
        <v>37</v>
      </c>
      <c r="F9" s="38">
        <v>1</v>
      </c>
      <c r="G9" s="7" t="s">
        <v>6</v>
      </c>
      <c r="H9" s="173" t="s">
        <v>121</v>
      </c>
      <c r="I9" s="181">
        <f>IF(ISBLANK(I8),C11*(9/5),(C11*(9/5))*I8^2)</f>
        <v>5446.8</v>
      </c>
      <c r="J9" s="69" t="s">
        <v>105</v>
      </c>
      <c r="N9" s="56"/>
      <c r="X9" s="224">
        <f>(($C$12-15)/20)*6+15</f>
        <v>40.5</v>
      </c>
      <c r="Y9">
        <f t="shared" si="0"/>
        <v>3.1524303261817135E-3</v>
      </c>
      <c r="Z9">
        <f t="shared" si="10"/>
        <v>6.0558122712561302E-3</v>
      </c>
      <c r="AA9" t="b">
        <f t="shared" si="1"/>
        <v>1</v>
      </c>
      <c r="AB9">
        <f t="shared" si="2"/>
        <v>3.1524303261817135E-3</v>
      </c>
      <c r="AC9">
        <f t="shared" si="3"/>
        <v>3.0625450658180241E-3</v>
      </c>
      <c r="AD9">
        <f t="shared" si="4"/>
        <v>6.2149753919997375E-3</v>
      </c>
      <c r="AE9">
        <f t="shared" si="5"/>
        <v>1.0293498572043642</v>
      </c>
      <c r="AF9" s="225">
        <f t="shared" si="6"/>
        <v>3.1524303261817139E-3</v>
      </c>
      <c r="AG9" s="225">
        <f t="shared" si="7"/>
        <v>2.4249464047551646E-3</v>
      </c>
      <c r="AH9" s="225">
        <f t="shared" si="8"/>
        <v>5.5773767309368789E-3</v>
      </c>
      <c r="AI9">
        <f t="shared" si="9"/>
        <v>1.3</v>
      </c>
      <c r="GW9" t="str">
        <f>"J"&amp;(ROUNDUP($F$23,0)+52)</f>
        <v>J54</v>
      </c>
      <c r="GX9" t="str">
        <f>"K"&amp;(ROUNDUP($F$23,0)+52)</f>
        <v>K54</v>
      </c>
    </row>
    <row r="10" spans="2:206" ht="15.75" x14ac:dyDescent="0.3">
      <c r="B10" s="70" t="s">
        <v>140</v>
      </c>
      <c r="C10" s="13">
        <f>8314.3/C9</f>
        <v>388.51869158878503</v>
      </c>
      <c r="D10" s="24" t="s">
        <v>10</v>
      </c>
      <c r="E10" s="9" t="s">
        <v>4</v>
      </c>
      <c r="F10" s="21">
        <v>0</v>
      </c>
      <c r="G10" s="12" t="s">
        <v>7</v>
      </c>
      <c r="H10" s="192" t="s">
        <v>121</v>
      </c>
      <c r="I10" s="193">
        <f>I9/1.8</f>
        <v>3026</v>
      </c>
      <c r="J10" s="6" t="s">
        <v>148</v>
      </c>
      <c r="K10" s="220"/>
      <c r="N10" s="56">
        <f>CONVERT((N8-N7),"in","mm")</f>
        <v>8.4241050681896308</v>
      </c>
      <c r="T10" s="56"/>
      <c r="X10" s="224">
        <f>(($C$12-15)/20)*7+15</f>
        <v>44.75</v>
      </c>
      <c r="Y10">
        <f t="shared" si="0"/>
        <v>3.1524303261817135E-3</v>
      </c>
      <c r="Z10">
        <f t="shared" si="10"/>
        <v>6.3776766694713842E-3</v>
      </c>
      <c r="AA10" t="b">
        <f t="shared" si="1"/>
        <v>1</v>
      </c>
      <c r="AB10">
        <f t="shared" si="2"/>
        <v>3.1524303261817135E-3</v>
      </c>
      <c r="AC10">
        <f t="shared" si="3"/>
        <v>3.0214676508054966E-3</v>
      </c>
      <c r="AD10">
        <f t="shared" si="4"/>
        <v>6.1738979769872101E-3</v>
      </c>
      <c r="AE10">
        <f t="shared" si="5"/>
        <v>1.0433440600766661</v>
      </c>
      <c r="AF10" s="225">
        <f t="shared" si="6"/>
        <v>3.1524303261817139E-3</v>
      </c>
      <c r="AG10" s="225">
        <f t="shared" si="7"/>
        <v>2.4249464047551646E-3</v>
      </c>
      <c r="AH10" s="225">
        <f t="shared" si="8"/>
        <v>5.5773767309368789E-3</v>
      </c>
      <c r="AI10">
        <f t="shared" si="9"/>
        <v>1.3</v>
      </c>
      <c r="GW10" t="str">
        <f>"H"&amp;(ROUNDUP($F$23,0)+52)</f>
        <v>H54</v>
      </c>
    </row>
    <row r="11" spans="2:206" ht="15.75" x14ac:dyDescent="0.3">
      <c r="B11" s="73" t="s">
        <v>152</v>
      </c>
      <c r="C11" s="73">
        <v>3026</v>
      </c>
      <c r="D11" s="7" t="s">
        <v>9</v>
      </c>
      <c r="E11" s="27" t="s">
        <v>29</v>
      </c>
      <c r="F11" s="86">
        <v>0.189</v>
      </c>
      <c r="G11" s="12" t="s">
        <v>27</v>
      </c>
      <c r="H11" s="201" t="s">
        <v>184</v>
      </c>
      <c r="I11" s="177">
        <v>0.29509999999999997</v>
      </c>
      <c r="J11" s="6" t="s">
        <v>185</v>
      </c>
      <c r="X11" s="224">
        <f>(($C$12-15)/20)*8+15</f>
        <v>49</v>
      </c>
      <c r="Y11">
        <f t="shared" si="0"/>
        <v>3.1524303261817135E-3</v>
      </c>
      <c r="Z11">
        <f t="shared" si="10"/>
        <v>6.6773811136391827E-3</v>
      </c>
      <c r="AA11" t="b">
        <f t="shared" si="1"/>
        <v>1</v>
      </c>
      <c r="AB11">
        <f t="shared" si="2"/>
        <v>3.1524303261817135E-3</v>
      </c>
      <c r="AC11">
        <f t="shared" si="3"/>
        <v>2.9798240299658382E-3</v>
      </c>
      <c r="AD11">
        <f t="shared" si="4"/>
        <v>6.1322543561475517E-3</v>
      </c>
      <c r="AE11">
        <f t="shared" si="5"/>
        <v>1.057924996402507</v>
      </c>
      <c r="AF11" s="225">
        <f t="shared" si="6"/>
        <v>3.1524303261817139E-3</v>
      </c>
      <c r="AG11" s="225">
        <f t="shared" si="7"/>
        <v>2.4249464047551646E-3</v>
      </c>
      <c r="AH11" s="225">
        <f t="shared" si="8"/>
        <v>5.5773767309368789E-3</v>
      </c>
      <c r="AI11">
        <f t="shared" si="9"/>
        <v>1.3</v>
      </c>
    </row>
    <row r="12" spans="2:206" ht="15.75" x14ac:dyDescent="0.3">
      <c r="B12" s="86" t="s">
        <v>153</v>
      </c>
      <c r="C12" s="2">
        <v>100</v>
      </c>
      <c r="D12" s="69" t="s">
        <v>187</v>
      </c>
      <c r="E12" s="32" t="s">
        <v>28</v>
      </c>
      <c r="F12" s="41">
        <f>F18*(F11*9.8066)</f>
        <v>11.120684399999998</v>
      </c>
      <c r="G12" s="35" t="s">
        <v>31</v>
      </c>
      <c r="H12" s="178" t="s">
        <v>123</v>
      </c>
      <c r="I12" s="166">
        <f>((I16*1000)*I18)/I11</f>
        <v>0.77637705143329439</v>
      </c>
      <c r="J12" s="6" t="s">
        <v>124</v>
      </c>
      <c r="K12" s="69"/>
      <c r="X12" s="224">
        <f>(($C$12-15)/20)*9+15</f>
        <v>53.25</v>
      </c>
      <c r="Y12">
        <f t="shared" si="0"/>
        <v>3.1524303261817135E-3</v>
      </c>
      <c r="Z12">
        <f t="shared" si="10"/>
        <v>6.9570201750773324E-3</v>
      </c>
      <c r="AA12" t="b">
        <f t="shared" si="1"/>
        <v>1</v>
      </c>
      <c r="AB12">
        <f t="shared" si="2"/>
        <v>3.1524303261817135E-3</v>
      </c>
      <c r="AC12">
        <f t="shared" si="3"/>
        <v>2.9375901235978467E-3</v>
      </c>
      <c r="AD12">
        <f t="shared" si="4"/>
        <v>6.0900204497795606E-3</v>
      </c>
      <c r="AE12">
        <f t="shared" si="5"/>
        <v>1.0731348464368946</v>
      </c>
      <c r="AF12" s="225">
        <f t="shared" si="6"/>
        <v>3.1524303261817139E-3</v>
      </c>
      <c r="AG12" s="225">
        <f t="shared" si="7"/>
        <v>2.4249464047551646E-3</v>
      </c>
      <c r="AH12" s="225">
        <f t="shared" si="8"/>
        <v>5.5773767309368789E-3</v>
      </c>
      <c r="AI12">
        <f t="shared" si="9"/>
        <v>1.3</v>
      </c>
    </row>
    <row r="13" spans="2:206" ht="15.75" x14ac:dyDescent="0.3">
      <c r="B13" s="15" t="s">
        <v>12</v>
      </c>
      <c r="C13" s="13">
        <f>C12*0.00689475729</f>
        <v>0.68947572899999998</v>
      </c>
      <c r="D13" s="8" t="s">
        <v>13</v>
      </c>
      <c r="E13" s="54" t="s">
        <v>28</v>
      </c>
      <c r="F13" s="67">
        <f>0.22481*F12</f>
        <v>2.5000410599639995</v>
      </c>
      <c r="G13" s="35" t="s">
        <v>76</v>
      </c>
      <c r="H13" s="175" t="s">
        <v>131</v>
      </c>
      <c r="I13" s="176">
        <v>900</v>
      </c>
      <c r="J13" s="6" t="s">
        <v>148</v>
      </c>
      <c r="L13" s="69"/>
      <c r="N13" s="56"/>
      <c r="X13" s="224">
        <f>(($C$12-15)/20)*10+15</f>
        <v>57.5</v>
      </c>
      <c r="Y13">
        <f t="shared" si="0"/>
        <v>3.1524303261817135E-3</v>
      </c>
      <c r="Z13">
        <f t="shared" si="10"/>
        <v>7.2183042498293317E-3</v>
      </c>
      <c r="AA13" t="b">
        <f t="shared" si="1"/>
        <v>1</v>
      </c>
      <c r="AB13">
        <f t="shared" si="2"/>
        <v>3.1524303261817135E-3</v>
      </c>
      <c r="AC13">
        <f t="shared" si="3"/>
        <v>2.8947400952343497E-3</v>
      </c>
      <c r="AD13">
        <f t="shared" si="4"/>
        <v>6.0471704214160628E-3</v>
      </c>
      <c r="AE13">
        <f t="shared" si="5"/>
        <v>1.0890201615584083</v>
      </c>
      <c r="AF13" s="225">
        <f t="shared" si="6"/>
        <v>3.1524303261817139E-3</v>
      </c>
      <c r="AG13" s="225">
        <f t="shared" si="7"/>
        <v>2.4249464047551646E-3</v>
      </c>
      <c r="AH13" s="225">
        <f t="shared" si="8"/>
        <v>5.5773767309368789E-3</v>
      </c>
      <c r="AI13">
        <f t="shared" si="9"/>
        <v>1.3</v>
      </c>
      <c r="GW13">
        <v>0.12</v>
      </c>
      <c r="GX13">
        <f>GW13/2</f>
        <v>0.06</v>
      </c>
    </row>
    <row r="14" spans="2:206" ht="15.75" x14ac:dyDescent="0.3">
      <c r="B14" s="27" t="s">
        <v>11</v>
      </c>
      <c r="C14" s="2">
        <f>C16</f>
        <v>14.696</v>
      </c>
      <c r="D14" s="69" t="s">
        <v>187</v>
      </c>
      <c r="E14" s="28" t="s">
        <v>20</v>
      </c>
      <c r="F14" s="29">
        <v>1</v>
      </c>
      <c r="G14" s="12" t="s">
        <v>0</v>
      </c>
      <c r="H14" s="178" t="s">
        <v>131</v>
      </c>
      <c r="I14" s="183">
        <f>I13*1.8</f>
        <v>1620</v>
      </c>
      <c r="J14" s="6" t="s">
        <v>106</v>
      </c>
      <c r="K14" s="69"/>
      <c r="N14" s="152"/>
      <c r="X14" s="224">
        <f>(($C$12-15)/20)*11+15</f>
        <v>61.75</v>
      </c>
      <c r="Y14">
        <f t="shared" si="0"/>
        <v>3.1524303261817135E-3</v>
      </c>
      <c r="Z14">
        <f t="shared" si="10"/>
        <v>7.4626511746095914E-3</v>
      </c>
      <c r="AA14" t="b">
        <f t="shared" si="1"/>
        <v>1</v>
      </c>
      <c r="AB14">
        <f t="shared" si="2"/>
        <v>3.1524303261817135E-3</v>
      </c>
      <c r="AC14">
        <f t="shared" si="3"/>
        <v>2.8512461667935893E-3</v>
      </c>
      <c r="AD14">
        <f t="shared" si="4"/>
        <v>6.0036764929753024E-3</v>
      </c>
      <c r="AE14">
        <f t="shared" si="5"/>
        <v>1.1056324644626616</v>
      </c>
      <c r="AF14" s="225">
        <f t="shared" si="6"/>
        <v>3.1524303261817139E-3</v>
      </c>
      <c r="AG14" s="225">
        <f t="shared" si="7"/>
        <v>2.4249464047551646E-3</v>
      </c>
      <c r="AH14" s="225">
        <f t="shared" si="8"/>
        <v>5.5773767309368789E-3</v>
      </c>
      <c r="AI14">
        <f t="shared" si="9"/>
        <v>1.3</v>
      </c>
    </row>
    <row r="15" spans="2:206" ht="15.75" x14ac:dyDescent="0.3">
      <c r="B15" s="15" t="s">
        <v>11</v>
      </c>
      <c r="C15" s="13">
        <f>C14*0.00689475729</f>
        <v>0.10132535313384</v>
      </c>
      <c r="D15" s="8" t="s">
        <v>13</v>
      </c>
      <c r="E15" s="30" t="s">
        <v>21</v>
      </c>
      <c r="F15" s="31">
        <f>F18*(EXP(F9/C23)-1)</f>
        <v>3.0099454565832851E-3</v>
      </c>
      <c r="G15" s="12" t="s">
        <v>0</v>
      </c>
      <c r="H15" s="175" t="s">
        <v>130</v>
      </c>
      <c r="I15" s="177">
        <v>1</v>
      </c>
      <c r="J15" s="6"/>
      <c r="K15" s="69"/>
      <c r="N15" s="56"/>
      <c r="X15" s="224">
        <f>(($C$12-15)/20)*12+15</f>
        <v>66</v>
      </c>
      <c r="Y15">
        <f t="shared" si="0"/>
        <v>3.1524303261817135E-3</v>
      </c>
      <c r="Z15">
        <f t="shared" si="10"/>
        <v>7.6912510243516462E-3</v>
      </c>
      <c r="AA15" t="b">
        <f t="shared" si="1"/>
        <v>1</v>
      </c>
      <c r="AB15">
        <f t="shared" si="2"/>
        <v>3.1524303261817135E-3</v>
      </c>
      <c r="AC15">
        <f t="shared" si="3"/>
        <v>2.8070784079453313E-3</v>
      </c>
      <c r="AD15">
        <f t="shared" si="4"/>
        <v>5.9595087341270444E-3</v>
      </c>
      <c r="AE15">
        <f t="shared" si="5"/>
        <v>1.123028953255768</v>
      </c>
      <c r="AF15" s="225">
        <f t="shared" si="6"/>
        <v>3.1524303261817139E-3</v>
      </c>
      <c r="AG15" s="225">
        <f t="shared" si="7"/>
        <v>2.4249464047551646E-3</v>
      </c>
      <c r="AH15" s="225">
        <f t="shared" si="8"/>
        <v>5.5773767309368789E-3</v>
      </c>
      <c r="AI15">
        <f t="shared" si="9"/>
        <v>1.3</v>
      </c>
    </row>
    <row r="16" spans="2:206" ht="15.75" x14ac:dyDescent="0.3">
      <c r="B16" s="86" t="s">
        <v>81</v>
      </c>
      <c r="C16" s="2">
        <v>14.696</v>
      </c>
      <c r="D16" s="69" t="s">
        <v>187</v>
      </c>
      <c r="E16" s="27" t="s">
        <v>22</v>
      </c>
      <c r="F16" s="42">
        <v>5</v>
      </c>
      <c r="G16" s="12" t="s">
        <v>0</v>
      </c>
      <c r="H16" s="173" t="s">
        <v>164</v>
      </c>
      <c r="I16" s="156">
        <f>((C8*C10)/(C8-1))/1000</f>
        <v>2.8960797355323615</v>
      </c>
      <c r="J16" s="6" t="s">
        <v>182</v>
      </c>
      <c r="N16" s="56"/>
      <c r="X16" s="224">
        <f>(($C$12-15)/20)*13+15</f>
        <v>70.25</v>
      </c>
      <c r="Y16">
        <f t="shared" si="0"/>
        <v>3.1524303261817135E-3</v>
      </c>
      <c r="Z16">
        <f t="shared" si="10"/>
        <v>7.9051131528406343E-3</v>
      </c>
      <c r="AA16" t="b">
        <f t="shared" si="1"/>
        <v>1</v>
      </c>
      <c r="AB16">
        <f t="shared" si="2"/>
        <v>3.1524303261817135E-3</v>
      </c>
      <c r="AC16">
        <f t="shared" si="3"/>
        <v>2.7622044951543072E-3</v>
      </c>
      <c r="AD16">
        <f t="shared" si="4"/>
        <v>5.9146348213360202E-3</v>
      </c>
      <c r="AE16">
        <f t="shared" si="5"/>
        <v>1.1412733313959822</v>
      </c>
      <c r="AF16" s="225">
        <f t="shared" si="6"/>
        <v>3.1524303261817139E-3</v>
      </c>
      <c r="AG16" s="225">
        <f t="shared" si="7"/>
        <v>2.4249464047551646E-3</v>
      </c>
      <c r="AH16" s="225">
        <f t="shared" si="8"/>
        <v>5.5773767309368789E-3</v>
      </c>
      <c r="AI16">
        <f t="shared" si="9"/>
        <v>1.3</v>
      </c>
    </row>
    <row r="17" spans="2:35" ht="15.75" x14ac:dyDescent="0.3">
      <c r="B17" s="70" t="s">
        <v>82</v>
      </c>
      <c r="C17" s="13">
        <f>C16*0.00689475729</f>
        <v>0.10132535313384</v>
      </c>
      <c r="D17" s="8" t="s">
        <v>13</v>
      </c>
      <c r="E17" s="15" t="s">
        <v>32</v>
      </c>
      <c r="F17" s="37">
        <f>F16+F15+F14</f>
        <v>6.0030099454565828</v>
      </c>
      <c r="G17" s="12" t="s">
        <v>0</v>
      </c>
      <c r="H17" s="192" t="s">
        <v>164</v>
      </c>
      <c r="I17" s="197">
        <f>(C8*(1544/C9))/((C8-1)*778)</f>
        <v>0.69127766146855774</v>
      </c>
      <c r="J17" s="6" t="s">
        <v>107</v>
      </c>
      <c r="X17" s="224">
        <f>(($C$12-15)/20)*14+15</f>
        <v>74.5</v>
      </c>
      <c r="Y17">
        <f t="shared" si="0"/>
        <v>3.1524303261817135E-3</v>
      </c>
      <c r="Z17">
        <f t="shared" si="10"/>
        <v>8.1051011105042498E-3</v>
      </c>
      <c r="AA17" t="b">
        <f t="shared" si="1"/>
        <v>1</v>
      </c>
      <c r="AB17">
        <f t="shared" si="2"/>
        <v>3.1524303261817135E-3</v>
      </c>
      <c r="AC17">
        <f t="shared" si="3"/>
        <v>2.7165894348886114E-3</v>
      </c>
      <c r="AD17">
        <f t="shared" si="4"/>
        <v>5.8690197610703244E-3</v>
      </c>
      <c r="AE17">
        <f t="shared" si="5"/>
        <v>1.1604367909613742</v>
      </c>
      <c r="AF17" s="225">
        <f t="shared" si="6"/>
        <v>3.1524303261817139E-3</v>
      </c>
      <c r="AG17" s="225">
        <f t="shared" si="7"/>
        <v>2.4249464047551646E-3</v>
      </c>
      <c r="AH17" s="225">
        <f t="shared" si="8"/>
        <v>5.5773767309368789E-3</v>
      </c>
      <c r="AI17">
        <f t="shared" si="9"/>
        <v>1.3</v>
      </c>
    </row>
    <row r="18" spans="2:35" ht="15.75" x14ac:dyDescent="0.3">
      <c r="B18" s="15" t="s">
        <v>19</v>
      </c>
      <c r="C18" s="26">
        <f>C15/C13</f>
        <v>0.14696000000000001</v>
      </c>
      <c r="D18" s="12"/>
      <c r="E18" s="15" t="s">
        <v>33</v>
      </c>
      <c r="F18" s="37">
        <f>F16+F14</f>
        <v>6</v>
      </c>
      <c r="G18" s="12" t="s">
        <v>0</v>
      </c>
      <c r="H18" s="175" t="s">
        <v>143</v>
      </c>
      <c r="I18" s="198">
        <f>0.7911*10^-4</f>
        <v>7.9110000000000007E-5</v>
      </c>
      <c r="J18" s="6" t="s">
        <v>183</v>
      </c>
      <c r="X18" s="224">
        <f>(($C$12-15)/20)*15+15</f>
        <v>78.75</v>
      </c>
      <c r="Y18">
        <f t="shared" si="0"/>
        <v>3.1524303261817135E-3</v>
      </c>
      <c r="Z18">
        <f t="shared" si="10"/>
        <v>8.2919590642584126E-3</v>
      </c>
      <c r="AA18" t="b">
        <f t="shared" si="1"/>
        <v>1</v>
      </c>
      <c r="AB18">
        <f t="shared" si="2"/>
        <v>3.1524303261817135E-3</v>
      </c>
      <c r="AC18">
        <f t="shared" si="3"/>
        <v>2.6701952442557799E-3</v>
      </c>
      <c r="AD18">
        <f t="shared" si="4"/>
        <v>5.8226255704374938E-3</v>
      </c>
      <c r="AE18">
        <f t="shared" si="5"/>
        <v>1.1805991838848995</v>
      </c>
      <c r="AF18" s="225">
        <f t="shared" si="6"/>
        <v>3.1524303261817139E-3</v>
      </c>
      <c r="AG18" s="225">
        <f t="shared" si="7"/>
        <v>2.4249464047551646E-3</v>
      </c>
      <c r="AH18" s="225">
        <f t="shared" si="8"/>
        <v>5.5773767309368789E-3</v>
      </c>
      <c r="AI18">
        <f t="shared" si="9"/>
        <v>1.3</v>
      </c>
    </row>
    <row r="19" spans="2:35" ht="29.25" customHeight="1" x14ac:dyDescent="0.3">
      <c r="B19" s="15" t="s">
        <v>18</v>
      </c>
      <c r="C19" s="36">
        <f>C11/C13</f>
        <v>4388.8419457329437</v>
      </c>
      <c r="D19" s="7"/>
      <c r="E19" s="32" t="s">
        <v>38</v>
      </c>
      <c r="F19" s="40">
        <f>F18/F17</f>
        <v>0.99949859395804252</v>
      </c>
      <c r="G19" s="12"/>
      <c r="H19" s="178" t="s">
        <v>143</v>
      </c>
      <c r="I19" s="199">
        <f>0.671949457*I18</f>
        <v>5.3157921543270004E-5</v>
      </c>
      <c r="J19" s="6" t="s">
        <v>125</v>
      </c>
      <c r="X19" s="224">
        <f>(($C$12-15)/20)*16+15</f>
        <v>83</v>
      </c>
      <c r="Y19">
        <f t="shared" si="0"/>
        <v>3.1524303261817135E-3</v>
      </c>
      <c r="Z19">
        <f t="shared" si="10"/>
        <v>8.466332121405162E-3</v>
      </c>
      <c r="AA19" t="b">
        <f t="shared" si="1"/>
        <v>1</v>
      </c>
      <c r="AB19">
        <f t="shared" si="2"/>
        <v>3.1524303261817135E-3</v>
      </c>
      <c r="AC19">
        <f t="shared" si="3"/>
        <v>2.6229805807790395E-3</v>
      </c>
      <c r="AD19">
        <f t="shared" si="4"/>
        <v>5.7754109069607529E-3</v>
      </c>
      <c r="AE19">
        <f t="shared" si="5"/>
        <v>1.2018504251546631</v>
      </c>
      <c r="AF19" s="225">
        <f t="shared" si="6"/>
        <v>3.1524303261817139E-3</v>
      </c>
      <c r="AG19" s="225">
        <f t="shared" si="7"/>
        <v>2.4249464047551646E-3</v>
      </c>
      <c r="AH19" s="225">
        <f t="shared" si="8"/>
        <v>5.5773767309368789E-3</v>
      </c>
      <c r="AI19">
        <f t="shared" si="9"/>
        <v>1.3</v>
      </c>
    </row>
    <row r="20" spans="2:35" ht="15.75" x14ac:dyDescent="0.3">
      <c r="B20" s="15" t="s">
        <v>34</v>
      </c>
      <c r="C20" s="39">
        <f>(2/(C8+1))^(C8/(C8-1))</f>
        <v>0.57338760704179448</v>
      </c>
      <c r="D20" s="7"/>
      <c r="E20" s="32" t="s">
        <v>39</v>
      </c>
      <c r="F20" s="43">
        <f>F17/F18</f>
        <v>1.0005016575760972</v>
      </c>
      <c r="H20" s="178" t="s">
        <v>144</v>
      </c>
      <c r="I20" s="179">
        <f>I14/I9</f>
        <v>0.29742233972240578</v>
      </c>
      <c r="K20" s="69"/>
      <c r="X20" s="224">
        <f>(($C$12-15)/20)*17+15</f>
        <v>87.25</v>
      </c>
      <c r="Y20">
        <f t="shared" si="0"/>
        <v>3.1524303261817135E-3</v>
      </c>
      <c r="Z20">
        <f t="shared" si="10"/>
        <v>8.628782190630159E-3</v>
      </c>
      <c r="AA20" t="b">
        <f t="shared" si="1"/>
        <v>1</v>
      </c>
      <c r="AB20">
        <f t="shared" si="2"/>
        <v>3.1524303261817135E-3</v>
      </c>
      <c r="AC20">
        <f t="shared" si="3"/>
        <v>2.5749003110492863E-3</v>
      </c>
      <c r="AD20">
        <f t="shared" si="4"/>
        <v>5.7273306372309998E-3</v>
      </c>
      <c r="AE20">
        <f t="shared" si="5"/>
        <v>1.2242921843048287</v>
      </c>
      <c r="AF20" s="225">
        <f t="shared" si="6"/>
        <v>3.1524303261817139E-3</v>
      </c>
      <c r="AG20" s="225">
        <f t="shared" si="7"/>
        <v>2.4249464047551646E-3</v>
      </c>
      <c r="AH20" s="225">
        <f t="shared" si="8"/>
        <v>5.5773767309368789E-3</v>
      </c>
      <c r="AI20">
        <f t="shared" si="9"/>
        <v>1.3</v>
      </c>
    </row>
    <row r="21" spans="2:35" ht="15.75" x14ac:dyDescent="0.3">
      <c r="B21" s="15" t="s">
        <v>14</v>
      </c>
      <c r="C21" s="26">
        <f>C20*C13</f>
        <v>0.39533683836470679</v>
      </c>
      <c r="D21" s="8" t="s">
        <v>13</v>
      </c>
      <c r="E21" s="74" t="s">
        <v>79</v>
      </c>
      <c r="F21" s="45">
        <f>F12/C23</f>
        <v>5.5773767309368781E-3</v>
      </c>
      <c r="G21" s="10" t="s">
        <v>8</v>
      </c>
      <c r="H21" s="175" t="s">
        <v>132</v>
      </c>
      <c r="I21" s="177">
        <v>57.75</v>
      </c>
      <c r="J21" s="69" t="s">
        <v>177</v>
      </c>
      <c r="X21" s="224">
        <f>(($C$12-15)/20)*18+15</f>
        <v>91.5</v>
      </c>
      <c r="Y21">
        <f t="shared" si="0"/>
        <v>3.1524303261817135E-3</v>
      </c>
      <c r="Z21">
        <f t="shared" si="10"/>
        <v>8.7798005156577985E-3</v>
      </c>
      <c r="AA21" t="b">
        <f t="shared" si="1"/>
        <v>1</v>
      </c>
      <c r="AB21">
        <f t="shared" si="2"/>
        <v>3.1524303261817135E-3</v>
      </c>
      <c r="AC21">
        <f t="shared" si="3"/>
        <v>2.5259050054464586E-3</v>
      </c>
      <c r="AD21">
        <f t="shared" si="4"/>
        <v>5.6783353316281725E-3</v>
      </c>
      <c r="AE21">
        <f t="shared" si="5"/>
        <v>1.2480399379170299</v>
      </c>
      <c r="AF21" s="225">
        <f t="shared" si="6"/>
        <v>3.1524303261817139E-3</v>
      </c>
      <c r="AG21" s="225">
        <f t="shared" si="7"/>
        <v>2.4249464047551646E-3</v>
      </c>
      <c r="AH21" s="225">
        <f t="shared" si="8"/>
        <v>5.5773767309368789E-3</v>
      </c>
      <c r="AI21">
        <f t="shared" si="9"/>
        <v>1.3</v>
      </c>
    </row>
    <row r="22" spans="2:35" ht="14.25" x14ac:dyDescent="0.2">
      <c r="B22" s="9" t="s">
        <v>40</v>
      </c>
      <c r="C22" s="44">
        <v>0</v>
      </c>
      <c r="D22" s="7"/>
      <c r="E22" s="16" t="s">
        <v>2</v>
      </c>
      <c r="F22" s="17">
        <f>F15/F17</f>
        <v>5.0140604195756527E-4</v>
      </c>
      <c r="H22" s="174" t="s">
        <v>132</v>
      </c>
      <c r="I22" s="23">
        <f>I21*0.001925964/144</f>
        <v>7.7239181249999999E-4</v>
      </c>
      <c r="J22" s="69" t="s">
        <v>112</v>
      </c>
      <c r="X22" s="224">
        <f>(($C$12-15)/20)*19+15</f>
        <v>95.75</v>
      </c>
      <c r="Y22">
        <f t="shared" si="0"/>
        <v>3.1524303261817135E-3</v>
      </c>
      <c r="Z22">
        <f t="shared" si="10"/>
        <v>8.919817687046765E-3</v>
      </c>
      <c r="AA22" t="b">
        <f t="shared" si="1"/>
        <v>1</v>
      </c>
      <c r="AB22">
        <f t="shared" si="2"/>
        <v>3.1524303261817135E-3</v>
      </c>
      <c r="AC22">
        <f t="shared" si="3"/>
        <v>2.4759403428267885E-3</v>
      </c>
      <c r="AD22">
        <f t="shared" si="4"/>
        <v>5.628370669008502E-3</v>
      </c>
      <c r="AE22">
        <f t="shared" si="5"/>
        <v>1.2732254778734184</v>
      </c>
      <c r="AF22" s="225">
        <f t="shared" si="6"/>
        <v>3.1524303261817139E-3</v>
      </c>
      <c r="AG22" s="225">
        <f t="shared" si="7"/>
        <v>2.4249464047551646E-3</v>
      </c>
      <c r="AH22" s="225">
        <f t="shared" si="8"/>
        <v>5.5773767309368789E-3</v>
      </c>
      <c r="AI22">
        <f t="shared" si="9"/>
        <v>1.3</v>
      </c>
    </row>
    <row r="23" spans="2:35" ht="16.5" thickBot="1" x14ac:dyDescent="0.25">
      <c r="B23" s="148" t="s">
        <v>17</v>
      </c>
      <c r="C23" s="131">
        <f>SQRT(((2*C8)/(C8-1))*C10*C11*(1-(C18)^((C8-1)/C8)))</f>
        <v>1993.8915616575116</v>
      </c>
      <c r="D23" s="12" t="s">
        <v>6</v>
      </c>
      <c r="E23" s="30" t="s">
        <v>30</v>
      </c>
      <c r="F23" s="41">
        <v>2</v>
      </c>
      <c r="G23" s="12" t="s">
        <v>5</v>
      </c>
      <c r="H23" s="202" t="s">
        <v>141</v>
      </c>
      <c r="I23" s="203">
        <v>0</v>
      </c>
      <c r="J23" s="6" t="s">
        <v>74</v>
      </c>
      <c r="L23" s="1"/>
    </row>
    <row r="24" spans="2:35" ht="13.5" thickBot="1" x14ac:dyDescent="0.25">
      <c r="B24" s="70" t="s">
        <v>137</v>
      </c>
      <c r="C24" s="13">
        <f>((C13*101970*9.80665)*C46)/F21</f>
        <v>1695.1308699784265</v>
      </c>
      <c r="D24" s="69" t="s">
        <v>6</v>
      </c>
      <c r="E24" s="28" t="s">
        <v>26</v>
      </c>
      <c r="F24" s="29">
        <v>1.3</v>
      </c>
      <c r="H24" s="137"/>
      <c r="I24" s="138" t="s">
        <v>108</v>
      </c>
      <c r="J24" s="138" t="s">
        <v>109</v>
      </c>
      <c r="K24" s="139" t="s">
        <v>110</v>
      </c>
      <c r="L24" s="63"/>
    </row>
    <row r="25" spans="2:35" ht="15.75" x14ac:dyDescent="0.3">
      <c r="B25" s="70" t="s">
        <v>159</v>
      </c>
      <c r="C25" s="13">
        <f>(SQRT(C8*C10*C11))/(C8*SQRT((2/(C8+1))^((C8+1)/(C8-1))))</f>
        <v>1695.1578221402194</v>
      </c>
      <c r="D25" s="65" t="s">
        <v>6</v>
      </c>
      <c r="E25" s="106" t="s">
        <v>157</v>
      </c>
      <c r="F25" s="108">
        <f>F21/(F24+1)</f>
        <v>2.4249464047551646E-3</v>
      </c>
      <c r="G25" s="10" t="s">
        <v>8</v>
      </c>
      <c r="H25" s="133" t="s">
        <v>126</v>
      </c>
      <c r="I25" s="134">
        <v>0</v>
      </c>
      <c r="J25" s="134">
        <v>1</v>
      </c>
      <c r="K25" s="135">
        <f>C23/SQRT((C8)*C10*C11)</f>
        <v>1.7111245194781333</v>
      </c>
      <c r="L25" s="1"/>
      <c r="Q25" s="10"/>
      <c r="T25" s="10"/>
    </row>
    <row r="26" spans="2:35" ht="27" x14ac:dyDescent="0.3">
      <c r="B26" s="122" t="s">
        <v>138</v>
      </c>
      <c r="C26" s="123">
        <f>C24/C25</f>
        <v>0.99998410050000008</v>
      </c>
      <c r="E26" s="34" t="s">
        <v>71</v>
      </c>
      <c r="F26" s="108">
        <f>(F21*F24)/(F24+1)</f>
        <v>3.1524303261817139E-3</v>
      </c>
      <c r="G26" s="10" t="s">
        <v>8</v>
      </c>
      <c r="H26" s="126" t="s">
        <v>128</v>
      </c>
      <c r="I26" s="155">
        <f>1/(((0.5*$I$20*(1+(($C$8-1)/2)*I25^2)+0.5)^0.68)*((1+(($C$8-1)/2)*I25^2)^0.12))</f>
        <v>1.3421623884682441</v>
      </c>
      <c r="J26" s="155">
        <f>1/(((0.5*$I$20*(1+(($C$8-1)/2)*J25^2)+0.5)^0.68)*((1+(($C$8-1)/2)*J25^2)^0.12))</f>
        <v>1.3143706516766502</v>
      </c>
      <c r="K26" s="156">
        <f>1/(((0.5*$I$20*(1+(($C$8-1)/2)*K25^2)+0.5)^0.68)*((1+(($C$8-1)/2)*K25^2)^0.12))</f>
        <v>1.2652634857018119</v>
      </c>
      <c r="Q26" s="10"/>
      <c r="T26" s="10"/>
    </row>
    <row r="27" spans="2:35" ht="15.75" x14ac:dyDescent="0.3">
      <c r="B27" s="136" t="s">
        <v>154</v>
      </c>
      <c r="C27" s="31">
        <f>(((C8+1)/2)^(1/(C8-1)))*(C18^(1/C8))*(SQRT(((C8+1)/(C8-1))*(1-(C18^((C8-1)/C8)))))</f>
        <v>0.54645319507761936</v>
      </c>
      <c r="D27" s="12"/>
      <c r="E27" s="115" t="s">
        <v>102</v>
      </c>
      <c r="F27" s="116">
        <v>800</v>
      </c>
      <c r="G27" s="10" t="s">
        <v>68</v>
      </c>
      <c r="H27" s="127" t="s">
        <v>127</v>
      </c>
      <c r="I27" s="128">
        <f>((0.026/$C$49^0.2)*(($I$19^0.2*$I$17)/($I$12^0.6))*((($C$12*32.174)/($C$24*3.28084))^0.8)*(($C49/($C$49/2))^0.1))*((1/$C$30)^0.9)*I26</f>
        <v>7.9515060483526033E-4</v>
      </c>
      <c r="J27" s="128">
        <f>((0.026/$C$49^0.2)*(($I$19^0.2*$I$17)/($I$12^0.6))*((($C$12*32.174)/($C$24*3.28084))^0.8)*(($C49/($C$49/2))^0.1))*(1^0.9)*J26</f>
        <v>3.8118319413067829E-3</v>
      </c>
      <c r="K27" s="129">
        <f>((0.026/$C$49^0.2)*(($I$19^0.2*$I$17)/($I$12^0.6))*((($C$12*32.174)/($C$24*3.28084))^0.8)*(($C49/($C$49/2))^0.1))*(C27^0.9)*K26</f>
        <v>2.1300732537257675E-3</v>
      </c>
      <c r="L27" s="63" t="s">
        <v>111</v>
      </c>
      <c r="Q27" s="10"/>
      <c r="T27" s="10"/>
    </row>
    <row r="28" spans="2:35" ht="15.75" x14ac:dyDescent="0.3">
      <c r="B28" s="32" t="s">
        <v>15</v>
      </c>
      <c r="C28" s="31">
        <f>1/C27</f>
        <v>1.8299828951644392</v>
      </c>
      <c r="D28" s="12"/>
      <c r="E28" s="115" t="s">
        <v>103</v>
      </c>
      <c r="F28" s="117">
        <f>(F38*6894.75729)/(F36*((8314.4621)/F50)*F52)</f>
        <v>28.228783646333049</v>
      </c>
      <c r="G28" s="69" t="s">
        <v>68</v>
      </c>
      <c r="H28" s="154" t="s">
        <v>127</v>
      </c>
      <c r="I28" s="67">
        <f>((0.026/$C$48^0.2)*(($I$18^0.2*$I$16)/($I$12^0.6))*((($C$13*10^6)/($C$24))^0.8)*(($C48/($C$48/2))^0.1))*((1/$C$30)^0.9)*I26</f>
        <v>1.4248610073136707</v>
      </c>
      <c r="J28" s="67">
        <f>((0.026/$C$48^0.2)*(($I$18^0.2*$I$16)/($I$12^0.6))*((($C$13*10^6)/($C$24))^0.8)*(($C48/($C$48/2))^0.1))*(1^0.9)*J26</f>
        <v>6.8305685320154828</v>
      </c>
      <c r="K28" s="67">
        <f>((0.026/$C$48^0.2)*(($I$18^0.2*$I$16)/($I$12^0.6))*((($C$13*10^6)/($C$24))^0.8)*(($C48/($C$48/2))^0.1))*(C27^0.9)*K26</f>
        <v>3.8169603387076712</v>
      </c>
      <c r="L28" s="63" t="s">
        <v>175</v>
      </c>
      <c r="Q28" s="10"/>
      <c r="T28" s="10"/>
    </row>
    <row r="29" spans="2:35" ht="15.75" x14ac:dyDescent="0.3">
      <c r="B29" s="70" t="s">
        <v>80</v>
      </c>
      <c r="C29" s="121">
        <f>SQRT(((2*C8^2)/(C8-1))*(2/(C8+1))^((C8+1)/(C8-1)) * (1-(C18)^((C8-1)/C8)))+((C15-C17)/C13)*C28</f>
        <v>1.1762276854789404</v>
      </c>
      <c r="D29" s="96"/>
      <c r="E29" s="74" t="s">
        <v>101</v>
      </c>
      <c r="F29" s="75">
        <f>F25/F27</f>
        <v>3.0311830059439559E-6</v>
      </c>
      <c r="G29" s="65" t="s">
        <v>67</v>
      </c>
      <c r="H29" s="174" t="s">
        <v>129</v>
      </c>
      <c r="I29" s="71">
        <f>$I$9*(1+$I$12^0.33*(($C$8-1)/2)*I25)/(1+(($C$8-1)/2)*I25)</f>
        <v>5446.8</v>
      </c>
      <c r="J29" s="71">
        <f>$I$9*(1+$I$12^0.33*(($C$8-1)/2)*J25)/(1+(($C$8-1)/2)*J25)</f>
        <v>5415.4172970709315</v>
      </c>
      <c r="K29" s="71">
        <f>$I$9*(1+$I$12^0.33*(($C$8-1)/2)*K25)/(1+(($C$8-1)/2)*K25)</f>
        <v>5395.7123698378828</v>
      </c>
      <c r="L29" s="6" t="s">
        <v>106</v>
      </c>
      <c r="Q29" s="10"/>
      <c r="T29" s="10"/>
    </row>
    <row r="30" spans="2:35" ht="15.75" x14ac:dyDescent="0.3">
      <c r="B30" s="86" t="s">
        <v>51</v>
      </c>
      <c r="C30" s="52">
        <v>5.84</v>
      </c>
      <c r="E30" s="76" t="s">
        <v>101</v>
      </c>
      <c r="F30" s="77">
        <f>F29*264.172052*60</f>
        <v>4.8045230080064588E-2</v>
      </c>
      <c r="G30" s="65" t="s">
        <v>70</v>
      </c>
      <c r="H30" s="178" t="s">
        <v>129</v>
      </c>
      <c r="I30" s="200">
        <f>$I$10*(1+$I$12^0.33*(($C$8-1)/2)*I25)/(1+(($C$8-1)/2)*I25)</f>
        <v>3026</v>
      </c>
      <c r="J30" s="200">
        <f>$I$10*(1+$I$12^0.33*(($C$8-1)/2)*J25)/(1+(($C$8-1)/2)*J25)</f>
        <v>3008.5651650394061</v>
      </c>
      <c r="K30" s="200">
        <f>$I$10*(1+$I$12^0.33*(($C$8-1)/2)*K25)/(1+(($C$8-1)/2)*K25)</f>
        <v>2997.6179832432676</v>
      </c>
      <c r="L30" s="6" t="s">
        <v>148</v>
      </c>
      <c r="Q30" s="10"/>
      <c r="T30" s="10"/>
    </row>
    <row r="31" spans="2:35" ht="15.75" x14ac:dyDescent="0.3">
      <c r="B31" s="33" t="s">
        <v>49</v>
      </c>
      <c r="C31" s="46">
        <f>C46*C30</f>
        <v>8.0081828881938341E-5</v>
      </c>
      <c r="D31" s="12" t="s">
        <v>44</v>
      </c>
      <c r="E31" s="74" t="s">
        <v>165</v>
      </c>
      <c r="F31" s="75">
        <f>F26/F28</f>
        <v>1.1167432382766582E-4</v>
      </c>
      <c r="G31" s="65" t="s">
        <v>67</v>
      </c>
      <c r="H31" s="153" t="s">
        <v>167</v>
      </c>
      <c r="I31" s="157">
        <f>I27*($I$29-$I$14)</f>
        <v>3.0428823345835743</v>
      </c>
      <c r="J31" s="157">
        <f>($J$29-$I$14)*J27</f>
        <v>14.467492883563231</v>
      </c>
      <c r="K31" s="158">
        <f>K27*($K$29-$I$14)</f>
        <v>8.0425439327532082</v>
      </c>
      <c r="L31" s="63" t="s">
        <v>180</v>
      </c>
      <c r="Q31" s="10"/>
      <c r="T31" s="10"/>
    </row>
    <row r="32" spans="2:35" ht="15.75" x14ac:dyDescent="0.3">
      <c r="B32" s="47" t="s">
        <v>49</v>
      </c>
      <c r="C32" s="50">
        <f>C31*39.3700787^2</f>
        <v>0.12412708276795123</v>
      </c>
      <c r="D32" s="10" t="s">
        <v>45</v>
      </c>
      <c r="E32" s="76" t="s">
        <v>165</v>
      </c>
      <c r="F32" s="77">
        <f>F31*264.172052*60</f>
        <v>1.7700741168760183</v>
      </c>
      <c r="G32" s="65" t="s">
        <v>70</v>
      </c>
      <c r="H32" s="154" t="s">
        <v>166</v>
      </c>
      <c r="I32" s="67">
        <f>(I30-$I$13)*I28</f>
        <v>3029.254501548864</v>
      </c>
      <c r="J32" s="67">
        <f>(J30-$I$13)*J28</f>
        <v>14402.698864022201</v>
      </c>
      <c r="K32" s="67">
        <f>(K30-$I$13)*K28</f>
        <v>8006.5246477995252</v>
      </c>
      <c r="L32" s="63" t="s">
        <v>181</v>
      </c>
      <c r="Q32" s="10"/>
      <c r="T32" s="10"/>
    </row>
    <row r="33" spans="2:20" ht="15.75" x14ac:dyDescent="0.3">
      <c r="B33" s="33" t="s">
        <v>50</v>
      </c>
      <c r="C33" s="46">
        <f>(SQRT(C31/PI()))*2</f>
        <v>1.0097690396679746E-2</v>
      </c>
      <c r="D33" s="10" t="s">
        <v>16</v>
      </c>
      <c r="E33" s="97" t="s">
        <v>87</v>
      </c>
      <c r="F33" s="102"/>
      <c r="G33" s="10"/>
      <c r="H33" s="130" t="s">
        <v>139</v>
      </c>
      <c r="I33" s="131">
        <f>$I$14-((I31*$I$23)/$I$22)</f>
        <v>1620</v>
      </c>
      <c r="J33" s="131">
        <f>$I$14-((J31*$I$23)/$I$22)</f>
        <v>1620</v>
      </c>
      <c r="K33" s="163">
        <f>$I$14-((K31*$I$23)/$I$22)</f>
        <v>1620</v>
      </c>
      <c r="L33" s="4" t="s">
        <v>106</v>
      </c>
      <c r="Q33" s="10"/>
      <c r="T33" s="10"/>
    </row>
    <row r="34" spans="2:20" ht="15.75" x14ac:dyDescent="0.3">
      <c r="B34" s="47" t="s">
        <v>50</v>
      </c>
      <c r="C34" s="50">
        <f>C33*39.3700787</f>
        <v>0.39754686560551583</v>
      </c>
      <c r="D34" s="10" t="s">
        <v>43</v>
      </c>
      <c r="E34" s="97" t="s">
        <v>88</v>
      </c>
      <c r="F34" s="102">
        <v>1.41</v>
      </c>
      <c r="G34" s="10"/>
      <c r="H34" s="159" t="s">
        <v>139</v>
      </c>
      <c r="I34" s="162">
        <f>$I$13-((I32*CONVERT($I$23,"in","mm"))/$I$21)</f>
        <v>900</v>
      </c>
      <c r="J34" s="162">
        <f>$I$13-((J32*CONVERT($I$23,"in","mm"))/$I$21)</f>
        <v>900</v>
      </c>
      <c r="K34" s="162">
        <f>$I$13-((K32*CONVERT($I$23,"in","mm"))/$I$21)</f>
        <v>900</v>
      </c>
      <c r="L34" s="4" t="s">
        <v>148</v>
      </c>
      <c r="Q34" s="10"/>
      <c r="T34" s="10"/>
    </row>
    <row r="35" spans="2:20" ht="15.75" x14ac:dyDescent="0.3">
      <c r="B35" s="28" t="s">
        <v>55</v>
      </c>
      <c r="C35" s="53">
        <f>CONVERT(2.5,"in","m")</f>
        <v>6.3500000000000001E-2</v>
      </c>
      <c r="D35" s="10" t="s">
        <v>16</v>
      </c>
      <c r="E35" s="99" t="s">
        <v>97</v>
      </c>
      <c r="F35" s="101"/>
      <c r="G35" s="210"/>
      <c r="H35" s="147" t="s">
        <v>147</v>
      </c>
      <c r="I35" s="160">
        <f>I31/(I33-$I$40)</f>
        <v>2.7265970739996184E-3</v>
      </c>
      <c r="J35" s="160">
        <f>J31/(J33-$I$40)</f>
        <v>1.29637033006839E-2</v>
      </c>
      <c r="K35" s="161">
        <f>K31/(K33-$I$40)</f>
        <v>7.2065805849043088E-3</v>
      </c>
      <c r="L35" s="69" t="s">
        <v>111</v>
      </c>
      <c r="Q35" s="10"/>
      <c r="T35" s="10"/>
    </row>
    <row r="36" spans="2:20" ht="15.75" x14ac:dyDescent="0.3">
      <c r="B36" s="47" t="s">
        <v>52</v>
      </c>
      <c r="C36" s="50">
        <f>C35*39.3700787</f>
        <v>2.4999999974500002</v>
      </c>
      <c r="D36" s="10" t="s">
        <v>43</v>
      </c>
      <c r="E36" s="99" t="s">
        <v>98</v>
      </c>
      <c r="F36" s="101">
        <v>0.97919999999999996</v>
      </c>
      <c r="G36" s="10"/>
      <c r="H36" s="159" t="s">
        <v>147</v>
      </c>
      <c r="I36" s="67">
        <f>I32/(I34-$I$40/1.8)</f>
        <v>4.8858943573368778</v>
      </c>
      <c r="J36" s="67">
        <f>J32/(J34-$I$40/1.8)</f>
        <v>23.230159458100324</v>
      </c>
      <c r="K36" s="67">
        <f>K32/(K34-$I$40/1.8)</f>
        <v>12.913749431934718</v>
      </c>
      <c r="L36" s="63" t="s">
        <v>175</v>
      </c>
      <c r="Q36" s="10"/>
      <c r="T36" s="10"/>
    </row>
    <row r="37" spans="2:20" ht="15.75" x14ac:dyDescent="0.3">
      <c r="B37" s="9" t="s">
        <v>69</v>
      </c>
      <c r="C37" s="51">
        <v>15</v>
      </c>
      <c r="D37" s="12" t="s">
        <v>41</v>
      </c>
      <c r="E37" s="68" t="s">
        <v>89</v>
      </c>
      <c r="F37" s="52">
        <v>200</v>
      </c>
      <c r="G37" s="69" t="s">
        <v>187</v>
      </c>
      <c r="H37" s="126" t="s">
        <v>146</v>
      </c>
      <c r="I37" s="145">
        <f>PI()*C33*C35</f>
        <v>2.0143997029955143E-3</v>
      </c>
      <c r="J37" s="144">
        <f>PI()*(C33/2+C48/2)*SQRT(((C33/2-C48/2)*COS(RADIANS(C37)))^2+((C33-C48)/2)^2)</f>
        <v>9.2274956957917644E-5</v>
      </c>
      <c r="K37" s="146">
        <f>PI()*(C54/2+C48/2)*SQRT(((C54/2-C48/2)*COS(RADIANS(C56)))^2+((C54-C48)/2)^2)</f>
        <v>1.6064934789335051E-5</v>
      </c>
      <c r="L37" s="120" t="s">
        <v>73</v>
      </c>
      <c r="Q37" s="10"/>
      <c r="T37" s="10"/>
    </row>
    <row r="38" spans="2:20" ht="16.5" thickBot="1" x14ac:dyDescent="0.35">
      <c r="B38" s="15" t="s">
        <v>58</v>
      </c>
      <c r="C38" s="61">
        <f>(C33/2-C48/2)/TAN(RADIANS(C37))</f>
        <v>1.1045445455883278E-2</v>
      </c>
      <c r="D38" s="10" t="s">
        <v>16</v>
      </c>
      <c r="E38" s="68" t="s">
        <v>90</v>
      </c>
      <c r="F38" s="52">
        <v>300</v>
      </c>
      <c r="G38" s="69" t="s">
        <v>187</v>
      </c>
      <c r="H38" s="141" t="s">
        <v>146</v>
      </c>
      <c r="I38" s="142">
        <f>PI()*C34*C36</f>
        <v>3.122325777925071</v>
      </c>
      <c r="J38" s="142">
        <f>PI()*(C34/2+C49/2)*SQRT(((C34/2-C49/2)*COS(RADIANS(C37)))^2+((C34-C49)/2)^2)</f>
        <v>0.14302646904593705</v>
      </c>
      <c r="K38" s="143">
        <f>PI()*(C55/2+C49/2)*SQRT(((C55/2-C49/2)*COS(RADIANS(C56)))^2+((C55-C49)/2)^2)</f>
        <v>2.4900698674069351E-2</v>
      </c>
      <c r="L38" s="120" t="s">
        <v>145</v>
      </c>
      <c r="Q38" s="10"/>
      <c r="T38" s="10"/>
    </row>
    <row r="39" spans="2:20" ht="15.75" x14ac:dyDescent="0.3">
      <c r="B39" s="48" t="s">
        <v>66</v>
      </c>
      <c r="C39" s="81">
        <f>C38*39.3700787</f>
        <v>0.43486005687468204</v>
      </c>
      <c r="D39" s="10" t="s">
        <v>43</v>
      </c>
      <c r="E39" s="70" t="s">
        <v>77</v>
      </c>
      <c r="F39" s="71">
        <f>F37-C12</f>
        <v>100</v>
      </c>
      <c r="G39" s="69" t="s">
        <v>187</v>
      </c>
      <c r="H39" s="190" t="s">
        <v>133</v>
      </c>
      <c r="I39" s="191">
        <v>10</v>
      </c>
      <c r="J39" s="6"/>
      <c r="Q39" s="10"/>
      <c r="T39" s="10"/>
    </row>
    <row r="40" spans="2:20" ht="15.75" x14ac:dyDescent="0.3">
      <c r="B40" s="15" t="s">
        <v>53</v>
      </c>
      <c r="C40" s="61">
        <f>C38/COS(RADIANS(C37))</f>
        <v>1.1435086582494749E-2</v>
      </c>
      <c r="D40" s="10" t="s">
        <v>16</v>
      </c>
      <c r="E40" s="70" t="s">
        <v>78</v>
      </c>
      <c r="F40" s="71">
        <f>F38-C12</f>
        <v>200</v>
      </c>
      <c r="G40" s="69" t="s">
        <v>187</v>
      </c>
      <c r="H40" s="175" t="s">
        <v>150</v>
      </c>
      <c r="I40" s="177">
        <f>280*1.8</f>
        <v>504</v>
      </c>
      <c r="J40" s="6" t="s">
        <v>106</v>
      </c>
      <c r="Q40" s="10"/>
      <c r="T40" s="10"/>
    </row>
    <row r="41" spans="2:20" ht="15.75" x14ac:dyDescent="0.3">
      <c r="B41" s="48" t="s">
        <v>53</v>
      </c>
      <c r="C41" s="81">
        <f>C40*39.3700787</f>
        <v>0.45020025869413233</v>
      </c>
      <c r="D41" s="10" t="s">
        <v>43</v>
      </c>
      <c r="E41" s="132" t="s">
        <v>209</v>
      </c>
      <c r="F41" s="217" t="str">
        <f>IF(ISBLANK(F33)=FALSE,(2/(F33+1))^(F33/(F33-1)),"")</f>
        <v/>
      </c>
      <c r="G41" s="6" t="s">
        <v>210</v>
      </c>
      <c r="H41" s="175" t="s">
        <v>173</v>
      </c>
      <c r="I41" s="177">
        <f>514*1.8</f>
        <v>925.2</v>
      </c>
      <c r="J41" s="6" t="s">
        <v>106</v>
      </c>
      <c r="Q41" s="10"/>
      <c r="T41" s="10"/>
    </row>
    <row r="42" spans="2:20" ht="15.75" x14ac:dyDescent="0.3">
      <c r="B42" s="32" t="s">
        <v>54</v>
      </c>
      <c r="C42" s="140">
        <f>C31*C35+C31*C40*(1+SQRT(C46/C31)+ C46/C31)</f>
        <v>6.5366810322477625E-6</v>
      </c>
      <c r="D42" s="10" t="s">
        <v>56</v>
      </c>
      <c r="E42" s="132" t="s">
        <v>211</v>
      </c>
      <c r="F42" s="217">
        <f>IF(ISBLANK(F34)=FALSE,(2/(F34+1))^(F34/(F34-1)),"")</f>
        <v>0.52660329279909524</v>
      </c>
      <c r="G42" s="6" t="s">
        <v>210</v>
      </c>
      <c r="H42" s="174" t="s">
        <v>172</v>
      </c>
      <c r="I42" s="23">
        <f>0.0624279606*F27</f>
        <v>49.942368479999999</v>
      </c>
      <c r="J42" s="6" t="s">
        <v>115</v>
      </c>
      <c r="Q42" s="10"/>
      <c r="T42" s="10"/>
    </row>
    <row r="43" spans="2:20" ht="15.75" x14ac:dyDescent="0.3">
      <c r="B43" s="54" t="s">
        <v>54</v>
      </c>
      <c r="C43" s="55">
        <f>C42*39.3700787^3</f>
        <v>0.39889274932016616</v>
      </c>
      <c r="D43" s="10" t="s">
        <v>57</v>
      </c>
      <c r="E43" s="218" t="s">
        <v>212</v>
      </c>
      <c r="F43" s="219" t="str">
        <f>IF(ISBLANK(F33)=FALSE,F41*F37,"")</f>
        <v/>
      </c>
      <c r="G43" s="69" t="s">
        <v>187</v>
      </c>
      <c r="H43" s="175" t="s">
        <v>117</v>
      </c>
      <c r="I43" s="177">
        <v>2.1399999999999999E-2</v>
      </c>
      <c r="Q43" s="10"/>
      <c r="T43" s="10"/>
    </row>
    <row r="44" spans="2:20" x14ac:dyDescent="0.2">
      <c r="B44" s="32" t="s">
        <v>61</v>
      </c>
      <c r="C44" s="31">
        <f>C42/C46</f>
        <v>0.47669012760192775</v>
      </c>
      <c r="D44" s="10" t="s">
        <v>16</v>
      </c>
      <c r="E44" s="218" t="s">
        <v>213</v>
      </c>
      <c r="F44" s="219">
        <f>IF(ISBLANK(F34)=FALSE,F42*F38,"")</f>
        <v>157.98098783972858</v>
      </c>
      <c r="G44" s="69" t="s">
        <v>187</v>
      </c>
      <c r="H44" s="175" t="s">
        <v>168</v>
      </c>
      <c r="I44" s="177">
        <v>4.1499999999999999E-5</v>
      </c>
      <c r="J44" s="6" t="s">
        <v>118</v>
      </c>
      <c r="Q44" s="10"/>
      <c r="T44" s="10"/>
    </row>
    <row r="45" spans="2:20" ht="15.75" x14ac:dyDescent="0.3">
      <c r="B45" s="32" t="s">
        <v>61</v>
      </c>
      <c r="C45" s="31">
        <f>C44*39.3700787</f>
        <v>18.767327839200938</v>
      </c>
      <c r="D45" s="10" t="s">
        <v>43</v>
      </c>
      <c r="E45" s="132" t="s">
        <v>214</v>
      </c>
      <c r="F45" s="217" t="str">
        <f>IF(ISBLANK(F33)=FALSE,IF(F41*F37&gt;$C$12,TRUE,FALSE),"")</f>
        <v/>
      </c>
      <c r="G45" s="6" t="s">
        <v>210</v>
      </c>
      <c r="H45" s="175" t="s">
        <v>169</v>
      </c>
      <c r="I45" s="177">
        <f>0.00000415</f>
        <v>4.1500000000000001E-6</v>
      </c>
      <c r="J45" s="6" t="s">
        <v>118</v>
      </c>
      <c r="Q45" s="10"/>
      <c r="T45" s="10"/>
    </row>
    <row r="46" spans="2:20" ht="15.75" x14ac:dyDescent="0.3">
      <c r="B46" s="33" t="s">
        <v>23</v>
      </c>
      <c r="C46" s="26">
        <f>(F21/(C13*10^6))*SQRT((C10*C11)/(C8*(2/(C8+1))^((C8+1)/(C8-1))))</f>
        <v>1.3712641931838757E-5</v>
      </c>
      <c r="D46" s="12" t="s">
        <v>44</v>
      </c>
      <c r="E46" s="132" t="s">
        <v>215</v>
      </c>
      <c r="F46" s="217" t="b">
        <f>IF(ISBLANK(F34)=FALSE,IF(F42*F38&gt;$C$12,TRUE,FALSE),"")</f>
        <v>1</v>
      </c>
      <c r="G46" s="6" t="s">
        <v>210</v>
      </c>
      <c r="H46" s="175" t="s">
        <v>170</v>
      </c>
      <c r="I46" s="209">
        <f>2.409984</f>
        <v>2.4099840000000001</v>
      </c>
      <c r="J46" s="6" t="s">
        <v>186</v>
      </c>
      <c r="Q46" s="10"/>
      <c r="T46" s="10"/>
    </row>
    <row r="47" spans="2:20" ht="15.75" x14ac:dyDescent="0.3">
      <c r="B47" s="132" t="s">
        <v>155</v>
      </c>
      <c r="C47" s="85">
        <f>C46*39.3700787^2</f>
        <v>2.1254637460265621E-2</v>
      </c>
      <c r="D47" s="10" t="s">
        <v>45</v>
      </c>
      <c r="E47" s="72" t="s">
        <v>188</v>
      </c>
      <c r="F47" s="118">
        <v>0.7</v>
      </c>
      <c r="G47" s="66" t="s">
        <v>75</v>
      </c>
      <c r="H47" s="174" t="s">
        <v>170</v>
      </c>
      <c r="I47" s="23">
        <v>0.57599999999999996</v>
      </c>
      <c r="J47" s="6" t="s">
        <v>119</v>
      </c>
      <c r="Q47" s="10"/>
      <c r="T47" s="10"/>
    </row>
    <row r="48" spans="2:20" ht="15.75" x14ac:dyDescent="0.2">
      <c r="B48" s="33" t="s">
        <v>35</v>
      </c>
      <c r="C48" s="46">
        <f>(SQRT(C46/PI()))*2</f>
        <v>4.1784540167878696E-3</v>
      </c>
      <c r="D48" s="10" t="s">
        <v>16</v>
      </c>
      <c r="E48" s="72" t="s">
        <v>189</v>
      </c>
      <c r="F48" s="118">
        <v>0.82</v>
      </c>
      <c r="G48" s="66" t="s">
        <v>75</v>
      </c>
      <c r="H48" s="175" t="s">
        <v>171</v>
      </c>
      <c r="I48" s="176">
        <f>0.000001371</f>
        <v>1.3710000000000001E-6</v>
      </c>
      <c r="J48" s="6" t="s">
        <v>120</v>
      </c>
      <c r="Q48" s="10"/>
      <c r="T48" s="10"/>
    </row>
    <row r="49" spans="2:20" ht="15.75" x14ac:dyDescent="0.2">
      <c r="B49" s="132" t="s">
        <v>156</v>
      </c>
      <c r="C49" s="85">
        <f>C48*39.3700787</f>
        <v>0.16450606348526955</v>
      </c>
      <c r="D49" s="10" t="s">
        <v>43</v>
      </c>
      <c r="E49" s="99" t="s">
        <v>91</v>
      </c>
      <c r="F49" s="100"/>
      <c r="G49" s="69" t="s">
        <v>86</v>
      </c>
      <c r="H49" s="184" t="s">
        <v>178</v>
      </c>
      <c r="I49" s="185">
        <v>0</v>
      </c>
      <c r="J49" s="6" t="s">
        <v>74</v>
      </c>
      <c r="K49" s="119"/>
      <c r="Q49" s="10"/>
      <c r="T49" s="10"/>
    </row>
    <row r="50" spans="2:20" ht="15.75" x14ac:dyDescent="0.2">
      <c r="B50" s="28" t="s">
        <v>62</v>
      </c>
      <c r="C50" s="53">
        <f>0.001</f>
        <v>1E-3</v>
      </c>
      <c r="D50" s="10" t="s">
        <v>16</v>
      </c>
      <c r="E50" s="103" t="s">
        <v>96</v>
      </c>
      <c r="F50" s="113">
        <v>32</v>
      </c>
      <c r="G50" s="69" t="s">
        <v>86</v>
      </c>
      <c r="H50" s="186" t="s">
        <v>178</v>
      </c>
      <c r="I50" s="187">
        <f>CONVERT(I49,"in","mm")</f>
        <v>0</v>
      </c>
      <c r="J50" s="6" t="s">
        <v>104</v>
      </c>
      <c r="L50" s="65"/>
      <c r="Q50" s="10"/>
      <c r="T50" s="10"/>
    </row>
    <row r="51" spans="2:20" ht="15.75" x14ac:dyDescent="0.2">
      <c r="B51" s="47" t="s">
        <v>62</v>
      </c>
      <c r="C51" s="83">
        <f>C50*39.3700787</f>
        <v>3.9370078699999998E-2</v>
      </c>
      <c r="D51" s="10" t="s">
        <v>43</v>
      </c>
      <c r="E51" s="99" t="s">
        <v>99</v>
      </c>
      <c r="F51" s="98"/>
      <c r="G51" s="69" t="s">
        <v>9</v>
      </c>
      <c r="H51" s="174" t="s">
        <v>176</v>
      </c>
      <c r="I51" s="182">
        <f>PI()*(I49/2)^2</f>
        <v>0</v>
      </c>
      <c r="J51" s="6" t="s">
        <v>145</v>
      </c>
      <c r="Q51" s="10"/>
      <c r="T51" s="10"/>
    </row>
    <row r="52" spans="2:20" ht="15.75" x14ac:dyDescent="0.2">
      <c r="B52" s="15" t="s">
        <v>24</v>
      </c>
      <c r="C52" s="46">
        <f>C28*C46</f>
        <v>2.5093900182779577E-5</v>
      </c>
      <c r="D52" s="12" t="s">
        <v>44</v>
      </c>
      <c r="E52" s="103" t="s">
        <v>100</v>
      </c>
      <c r="F52" s="114">
        <v>288</v>
      </c>
      <c r="G52" s="69" t="s">
        <v>9</v>
      </c>
      <c r="H52" s="178" t="s">
        <v>176</v>
      </c>
      <c r="I52" s="189">
        <f>I51*645.16</f>
        <v>0</v>
      </c>
      <c r="J52" s="6" t="s">
        <v>179</v>
      </c>
      <c r="K52" s="195"/>
      <c r="Q52" s="10"/>
      <c r="T52" s="10"/>
    </row>
    <row r="53" spans="2:20" ht="15.75" x14ac:dyDescent="0.3">
      <c r="B53" s="48" t="s">
        <v>24</v>
      </c>
      <c r="C53" s="50">
        <f>C52*39.3700787^2</f>
        <v>3.8895622995207421E-2</v>
      </c>
      <c r="D53" s="10" t="s">
        <v>45</v>
      </c>
      <c r="E53" s="106" t="s">
        <v>92</v>
      </c>
      <c r="F53" s="109">
        <f>IF(ISBLANK(F35),F25/(F47*SQRT(2*(F39*6894.75729)*F27)),IF(F45=FALSE,F25/(F47*(F37*6894.75729)*SQRT(((2*F49*9.80665)/(F35*8314.4621*F51))*(F33/(F33-1)) * (((C12*6894.75729)/(F37*6894.75729))^(2/F33)- ((C12*6894.75729)/(F37*6894.75729))^((F33+1)/F33)))),F25/(F47*SQRT(F33*F27*F37*6894.75729*(2/(F33+1))^((F33+1)/(F33-1))))))</f>
        <v>1.043000752454681E-7</v>
      </c>
      <c r="G53" s="64" t="s">
        <v>72</v>
      </c>
      <c r="H53" s="174" t="s">
        <v>114</v>
      </c>
      <c r="I53" s="23" t="e">
        <f>3.28084*I54</f>
        <v>#DIV/0!</v>
      </c>
      <c r="J53" s="6" t="s">
        <v>116</v>
      </c>
      <c r="K53" s="25"/>
      <c r="Q53" s="10"/>
      <c r="T53" s="10"/>
    </row>
    <row r="54" spans="2:20" ht="15.75" x14ac:dyDescent="0.3">
      <c r="B54" s="33" t="s">
        <v>36</v>
      </c>
      <c r="C54" s="46">
        <f>(SQRT(C52/PI()))*2</f>
        <v>5.6524814059271244E-3</v>
      </c>
      <c r="D54" s="10" t="s">
        <v>16</v>
      </c>
      <c r="E54" s="107" t="s">
        <v>92</v>
      </c>
      <c r="F54" s="111">
        <f>F53*39.3700787^2</f>
        <v>1.6166543963155801E-4</v>
      </c>
      <c r="G54" s="64" t="s">
        <v>83</v>
      </c>
      <c r="H54" s="194" t="s">
        <v>114</v>
      </c>
      <c r="I54" s="188" t="e">
        <f>F29/(I51*I39*0.00064516)</f>
        <v>#DIV/0!</v>
      </c>
      <c r="J54" s="6" t="s">
        <v>6</v>
      </c>
      <c r="Q54" s="10"/>
      <c r="T54" s="10"/>
    </row>
    <row r="55" spans="2:20" x14ac:dyDescent="0.2">
      <c r="B55" s="47" t="s">
        <v>36</v>
      </c>
      <c r="C55" s="50">
        <f>C54*39.3700787</f>
        <v>0.22253863780163755</v>
      </c>
      <c r="D55" s="10" t="s">
        <v>43</v>
      </c>
      <c r="E55" s="104" t="s">
        <v>93</v>
      </c>
      <c r="F55" s="110">
        <f>(SQRT(F53/PI()))*2</f>
        <v>3.6441594410972609E-4</v>
      </c>
      <c r="G55" s="64" t="s">
        <v>84</v>
      </c>
      <c r="H55" s="130" t="s">
        <v>134</v>
      </c>
      <c r="I55" s="169">
        <f>(F25*2.205)*I47*(I41-I40)</f>
        <v>1.2972437416113063</v>
      </c>
      <c r="J55" s="6" t="s">
        <v>113</v>
      </c>
      <c r="K55" s="10"/>
      <c r="Q55" s="10"/>
      <c r="T55" s="10"/>
    </row>
    <row r="56" spans="2:20" x14ac:dyDescent="0.2">
      <c r="B56" s="9" t="s">
        <v>46</v>
      </c>
      <c r="C56" s="51">
        <v>5</v>
      </c>
      <c r="D56" s="12" t="s">
        <v>41</v>
      </c>
      <c r="E56" s="105" t="s">
        <v>93</v>
      </c>
      <c r="F56" s="112">
        <f>F55*39.3700787</f>
        <v>1.4347084399134718E-2</v>
      </c>
      <c r="G56" s="64" t="s">
        <v>85</v>
      </c>
      <c r="H56" s="159" t="s">
        <v>134</v>
      </c>
      <c r="I56" s="170">
        <f>1.05505585*I55</f>
        <v>1.3686645984628971</v>
      </c>
      <c r="J56" s="69" t="s">
        <v>174</v>
      </c>
      <c r="K56" s="69"/>
      <c r="Q56" s="10"/>
      <c r="T56" s="10"/>
    </row>
    <row r="57" spans="2:20" ht="15.75" x14ac:dyDescent="0.3">
      <c r="B57" s="15" t="s">
        <v>25</v>
      </c>
      <c r="C57" s="13">
        <f>(C54/2-C48/2)/TAN(RADIANS(C56))</f>
        <v>8.4241050767822154E-3</v>
      </c>
      <c r="D57" s="10" t="s">
        <v>16</v>
      </c>
      <c r="E57" s="106" t="s">
        <v>94</v>
      </c>
      <c r="F57" s="109">
        <f>IF(ISBLANK(F36),F26/(F48*SQRT(2*(F40*6894.75729)*F28)),IF(F46=FALSE,F26/(F48*(F38*6894.75729)*SQRT(((2*F50*9.80665)/(F36*8314.4621*F52))*(F34/(F34-1)) * (((C12*6894.75729)/(F38*6894.75729))^(2/F34)- ((C12*6894.75729)/(F38*6894.75729))^((F34+1)/F34)))),F26/(F48*SQRT(F34*F28*F38*6894.75729*(2/(F34+1))^((F34+1)/(F34-1))))))</f>
        <v>7.3295749960802683E-7</v>
      </c>
      <c r="G57" s="64" t="s">
        <v>72</v>
      </c>
      <c r="H57" s="127" t="s">
        <v>135</v>
      </c>
      <c r="I57" s="169">
        <f>I38*I31+(J38+K38)*((J31+K31)/2*0.75)</f>
        <v>10.918387475402023</v>
      </c>
      <c r="J57" s="6" t="s">
        <v>113</v>
      </c>
      <c r="K57" s="10"/>
      <c r="Q57" s="10"/>
      <c r="T57" s="10"/>
    </row>
    <row r="58" spans="2:20" ht="15.75" x14ac:dyDescent="0.3">
      <c r="B58" s="48" t="s">
        <v>25</v>
      </c>
      <c r="C58" s="49">
        <f>C57*39.3700787</f>
        <v>0.33165767984998534</v>
      </c>
      <c r="D58" s="12" t="s">
        <v>43</v>
      </c>
      <c r="E58" s="107" t="s">
        <v>94</v>
      </c>
      <c r="F58" s="111">
        <f>F57*39.3700787^2</f>
        <v>1.1360863942476186E-3</v>
      </c>
      <c r="G58" s="64" t="s">
        <v>83</v>
      </c>
      <c r="H58" s="154" t="s">
        <v>135</v>
      </c>
      <c r="I58" s="170">
        <f>I37*I32+(J37+K37)*((J32+K32)/2*0.75)</f>
        <v>7.0125591867468904</v>
      </c>
      <c r="J58" s="69" t="s">
        <v>174</v>
      </c>
      <c r="L58" s="5"/>
      <c r="Q58" s="10"/>
      <c r="T58" s="10"/>
    </row>
    <row r="59" spans="2:20" ht="28.5" x14ac:dyDescent="0.3">
      <c r="B59" s="48" t="s">
        <v>59</v>
      </c>
      <c r="C59" s="49">
        <f>C57/COS(RADIANS(C56))</f>
        <v>8.4562837896236115E-3</v>
      </c>
      <c r="D59" s="10" t="s">
        <v>16</v>
      </c>
      <c r="E59" s="104" t="s">
        <v>95</v>
      </c>
      <c r="F59" s="110">
        <f>(SQRT(F57/PI()))*2</f>
        <v>9.6603854638991878E-4</v>
      </c>
      <c r="G59" s="64" t="s">
        <v>84</v>
      </c>
      <c r="H59" s="164" t="s">
        <v>136</v>
      </c>
      <c r="I59" s="23">
        <f>I57/(F25*2.205*I47)</f>
        <v>3545.0738031136175</v>
      </c>
      <c r="J59" s="6" t="s">
        <v>106</v>
      </c>
      <c r="L59" s="5"/>
      <c r="Q59" s="10"/>
      <c r="T59" s="10"/>
    </row>
    <row r="60" spans="2:20" ht="28.5" x14ac:dyDescent="0.3">
      <c r="B60" s="15" t="s">
        <v>59</v>
      </c>
      <c r="C60" s="13">
        <f>C59*39.3700787</f>
        <v>0.33292455830701584</v>
      </c>
      <c r="D60" s="12" t="s">
        <v>43</v>
      </c>
      <c r="E60" s="105" t="s">
        <v>95</v>
      </c>
      <c r="F60" s="112">
        <f>F59*39.3700787</f>
        <v>3.8033013598604705E-2</v>
      </c>
      <c r="G60" s="64" t="s">
        <v>85</v>
      </c>
      <c r="H60" s="165" t="s">
        <v>136</v>
      </c>
      <c r="I60" s="166">
        <f>I59*(5/9)</f>
        <v>1969.485446174232</v>
      </c>
      <c r="J60" s="6" t="s">
        <v>148</v>
      </c>
      <c r="L60" s="5"/>
      <c r="Q60" s="10"/>
      <c r="T60" s="10"/>
    </row>
    <row r="61" spans="2:20" ht="15.75" x14ac:dyDescent="0.3">
      <c r="B61" s="28" t="s">
        <v>60</v>
      </c>
      <c r="C61" s="60">
        <f>CONVERT(2,"mm","m")</f>
        <v>2E-3</v>
      </c>
      <c r="D61" s="65" t="s">
        <v>16</v>
      </c>
      <c r="E61" s="208"/>
      <c r="F61" s="78"/>
      <c r="G61" s="3"/>
      <c r="H61" s="153" t="s">
        <v>149</v>
      </c>
      <c r="I61" s="129">
        <f>I59+I40</f>
        <v>4049.0738031136175</v>
      </c>
      <c r="J61" s="6" t="s">
        <v>106</v>
      </c>
      <c r="Q61" s="10"/>
      <c r="T61" s="10"/>
    </row>
    <row r="62" spans="2:20" ht="16.5" thickBot="1" x14ac:dyDescent="0.35">
      <c r="B62" s="47" t="s">
        <v>60</v>
      </c>
      <c r="C62" s="85">
        <f>C61*39.3700787</f>
        <v>7.8740157399999997E-2</v>
      </c>
      <c r="D62" s="69" t="s">
        <v>43</v>
      </c>
      <c r="E62" s="207"/>
      <c r="F62" s="80"/>
      <c r="G62" s="65"/>
      <c r="H62" s="167" t="s">
        <v>149</v>
      </c>
      <c r="I62" s="168">
        <f>I61*(5/9)</f>
        <v>2249.485446174232</v>
      </c>
      <c r="J62" s="6" t="s">
        <v>148</v>
      </c>
      <c r="Q62" s="10"/>
      <c r="T62" s="10"/>
    </row>
    <row r="63" spans="2:20" x14ac:dyDescent="0.2">
      <c r="B63" s="82"/>
      <c r="C63" s="82"/>
      <c r="E63" s="79"/>
      <c r="F63" s="80"/>
      <c r="G63" s="65"/>
      <c r="L63" s="5"/>
      <c r="Q63" s="10"/>
      <c r="T63" s="10"/>
    </row>
    <row r="64" spans="2:20" ht="13.5" thickBot="1" x14ac:dyDescent="0.25">
      <c r="B64" s="12"/>
      <c r="C64" s="18"/>
      <c r="D64" s="18"/>
      <c r="E64" s="65"/>
      <c r="F64" s="78"/>
      <c r="G64" s="65"/>
      <c r="Q64" s="10"/>
      <c r="T64" s="10"/>
    </row>
    <row r="65" spans="2:20" ht="14.25" x14ac:dyDescent="0.25">
      <c r="B65" s="11"/>
      <c r="C65" s="212"/>
      <c r="D65" s="212"/>
      <c r="E65" s="214" t="s">
        <v>222</v>
      </c>
      <c r="Q65" s="5"/>
      <c r="R65" s="5"/>
      <c r="S65" s="5"/>
      <c r="T65" s="5"/>
    </row>
    <row r="66" spans="2:20" ht="13.5" thickBot="1" x14ac:dyDescent="0.25">
      <c r="B66" s="213"/>
      <c r="C66" s="213"/>
      <c r="D66" s="213"/>
      <c r="E66" s="215">
        <f>F12/(F21*9.8066)</f>
        <v>203.32139188480326</v>
      </c>
      <c r="J66" s="10"/>
    </row>
    <row r="67" spans="2:20" x14ac:dyDescent="0.2">
      <c r="B67" s="12"/>
      <c r="C67" s="216"/>
      <c r="D67" s="18" t="s">
        <v>42</v>
      </c>
      <c r="E67" s="10"/>
      <c r="J67" s="10"/>
    </row>
    <row r="68" spans="2:20" x14ac:dyDescent="0.2">
      <c r="B68" s="12"/>
      <c r="C68" s="19"/>
      <c r="D68" s="18"/>
      <c r="E68" s="18"/>
      <c r="J68" s="10"/>
    </row>
    <row r="69" spans="2:20" x14ac:dyDescent="0.2">
      <c r="B69" s="12"/>
      <c r="C69" s="19"/>
      <c r="D69" s="18"/>
      <c r="E69" s="18"/>
    </row>
    <row r="70" spans="2:20" x14ac:dyDescent="0.2">
      <c r="B70" s="12"/>
      <c r="C70" s="19"/>
      <c r="D70" s="18"/>
      <c r="E70" s="18"/>
      <c r="I70" s="84"/>
    </row>
    <row r="71" spans="2:20" x14ac:dyDescent="0.2">
      <c r="B71" s="12"/>
      <c r="C71" s="19"/>
      <c r="D71" s="18"/>
      <c r="E71" s="18"/>
      <c r="I71" s="84"/>
    </row>
    <row r="72" spans="2:20" x14ac:dyDescent="0.2">
      <c r="B72" s="12"/>
      <c r="C72" s="19"/>
      <c r="D72" s="18"/>
      <c r="E72" s="18"/>
      <c r="H72" s="56"/>
      <c r="I72" s="84"/>
      <c r="K72" s="87"/>
    </row>
    <row r="73" spans="2:20" x14ac:dyDescent="0.2">
      <c r="B73" s="12"/>
      <c r="C73" s="19"/>
      <c r="D73" s="18"/>
      <c r="E73" s="18"/>
      <c r="I73" s="84"/>
    </row>
    <row r="74" spans="2:20" x14ac:dyDescent="0.2">
      <c r="B74" s="12"/>
      <c r="C74" s="19"/>
      <c r="D74" s="18"/>
      <c r="E74" s="18"/>
    </row>
    <row r="75" spans="2:20" x14ac:dyDescent="0.2">
      <c r="B75" s="12"/>
      <c r="C75" s="19"/>
      <c r="D75" s="18"/>
      <c r="E75" s="18"/>
    </row>
    <row r="76" spans="2:20" x14ac:dyDescent="0.2">
      <c r="B76" s="12"/>
      <c r="C76" s="19"/>
      <c r="D76" s="18"/>
      <c r="E76" s="18"/>
    </row>
    <row r="77" spans="2:20" x14ac:dyDescent="0.2">
      <c r="B77" s="12"/>
      <c r="C77" s="19"/>
      <c r="D77" s="18"/>
      <c r="E77" s="18"/>
      <c r="J77" s="10"/>
    </row>
    <row r="78" spans="2:20" x14ac:dyDescent="0.2">
      <c r="B78" s="12"/>
      <c r="C78" s="19"/>
      <c r="D78" s="18"/>
      <c r="E78" s="18"/>
    </row>
    <row r="79" spans="2:20" x14ac:dyDescent="0.2">
      <c r="B79" s="12"/>
      <c r="C79" s="19"/>
      <c r="D79" s="18"/>
      <c r="E79" s="18"/>
    </row>
    <row r="80" spans="2:20" x14ac:dyDescent="0.2">
      <c r="B80" s="12"/>
      <c r="C80" s="19"/>
      <c r="D80" s="18"/>
      <c r="E80" s="18"/>
    </row>
    <row r="81" spans="2:10" x14ac:dyDescent="0.2">
      <c r="B81" s="12"/>
      <c r="C81" s="19"/>
      <c r="D81" s="18"/>
      <c r="E81" s="18"/>
      <c r="J81" s="10"/>
    </row>
    <row r="82" spans="2:10" x14ac:dyDescent="0.2">
      <c r="B82" s="12"/>
      <c r="C82" s="19"/>
      <c r="D82" s="18"/>
      <c r="E82" s="18"/>
    </row>
    <row r="83" spans="2:10" x14ac:dyDescent="0.2">
      <c r="B83" s="12"/>
      <c r="C83" s="19"/>
      <c r="D83" s="18"/>
      <c r="E83" s="18"/>
    </row>
    <row r="84" spans="2:10" x14ac:dyDescent="0.2">
      <c r="B84" s="12"/>
      <c r="C84" s="19"/>
      <c r="D84" s="18"/>
      <c r="E84" s="18"/>
    </row>
    <row r="85" spans="2:10" x14ac:dyDescent="0.2">
      <c r="B85" s="12"/>
      <c r="C85" s="19"/>
      <c r="D85" s="18"/>
      <c r="E85" s="18"/>
    </row>
    <row r="86" spans="2:10" x14ac:dyDescent="0.2">
      <c r="B86" s="12"/>
      <c r="C86" s="19"/>
      <c r="D86" s="18"/>
      <c r="E86" s="18"/>
    </row>
    <row r="87" spans="2:10" x14ac:dyDescent="0.2">
      <c r="B87" s="12"/>
      <c r="C87" s="19"/>
      <c r="D87" s="18"/>
      <c r="E87" s="18"/>
    </row>
    <row r="88" spans="2:10" x14ac:dyDescent="0.2">
      <c r="B88" s="12"/>
      <c r="C88" s="19"/>
      <c r="D88" s="18"/>
      <c r="E88" s="18"/>
    </row>
    <row r="89" spans="2:10" x14ac:dyDescent="0.2">
      <c r="B89" s="12"/>
      <c r="C89" s="19"/>
      <c r="D89" s="18"/>
      <c r="E89" s="18"/>
    </row>
    <row r="90" spans="2:10" x14ac:dyDescent="0.2">
      <c r="B90" s="12"/>
      <c r="C90" s="19"/>
      <c r="D90" s="18"/>
      <c r="E90" s="18"/>
    </row>
    <row r="91" spans="2:10" x14ac:dyDescent="0.2">
      <c r="B91" s="12"/>
      <c r="C91" s="19"/>
      <c r="D91" s="18"/>
      <c r="E91" s="18"/>
    </row>
    <row r="92" spans="2:10" x14ac:dyDescent="0.2">
      <c r="B92" s="12"/>
      <c r="C92" s="19"/>
      <c r="D92" s="18"/>
      <c r="E92" s="18"/>
    </row>
  </sheetData>
  <mergeCells count="3">
    <mergeCell ref="C2:G2"/>
    <mergeCell ref="N2:Q2"/>
    <mergeCell ref="B4:G6"/>
  </mergeCells>
  <hyperlinks>
    <hyperlink ref="B8" location="Glossary!A18" display="Specific Heat Ratio (k)"/>
    <hyperlink ref="D13" location="Glossary!A3" display="Pascal (Pa)"/>
    <hyperlink ref="D15" location="Glossary!A3" display="Pascal (Pa)"/>
    <hyperlink ref="D21" location="Glossary!A3" display="Pascal (Pa)"/>
    <hyperlink ref="D17" location="Glossary!A3" display="Pascal (Pa)"/>
    <hyperlink ref="E33" location="Glossary!A18" display="Specific Heat Ratio (k)"/>
    <hyperlink ref="E34" location="Glossary!A18" display="Specific Heat Ratio (k)"/>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I77"/>
  <sheetViews>
    <sheetView zoomScale="115" zoomScaleNormal="115" zoomScaleSheetLayoutView="70" workbookViewId="0">
      <selection activeCell="E18" sqref="E18"/>
    </sheetView>
  </sheetViews>
  <sheetFormatPr defaultRowHeight="12.75" x14ac:dyDescent="0.2"/>
  <cols>
    <col min="2" max="2" width="55.28515625" bestFit="1" customWidth="1"/>
    <col min="3" max="3" width="16.7109375" bestFit="1" customWidth="1"/>
    <col min="4" max="4" width="19.28515625" bestFit="1" customWidth="1"/>
    <col min="5" max="5" width="24.42578125" bestFit="1" customWidth="1"/>
    <col min="6" max="6" width="35.42578125" customWidth="1"/>
    <col min="7" max="7" width="18" bestFit="1" customWidth="1"/>
  </cols>
  <sheetData>
    <row r="3" spans="2:7" x14ac:dyDescent="0.2">
      <c r="B3" s="5" t="s">
        <v>198</v>
      </c>
      <c r="E3" s="5"/>
      <c r="G3" s="14"/>
    </row>
    <row r="4" spans="2:7" x14ac:dyDescent="0.2">
      <c r="B4" s="69" t="s">
        <v>190</v>
      </c>
      <c r="C4" s="94">
        <f>CONVERT(VesselCharacteristics!N8,"in","mm")</f>
        <v>83.969550447016559</v>
      </c>
      <c r="D4" s="69" t="s">
        <v>104</v>
      </c>
    </row>
    <row r="5" spans="2:7" x14ac:dyDescent="0.2">
      <c r="B5" s="69" t="s">
        <v>216</v>
      </c>
      <c r="C5" s="94">
        <f>CONVERT(VesselCharacteristics!C35,"m","mm")</f>
        <v>63.5</v>
      </c>
      <c r="D5" s="69" t="s">
        <v>104</v>
      </c>
    </row>
    <row r="6" spans="2:7" x14ac:dyDescent="0.2">
      <c r="B6" s="69" t="s">
        <v>193</v>
      </c>
      <c r="C6" s="94">
        <f>CONVERT(VesselCharacteristics!C33,"m","mm")</f>
        <v>10.097690396679745</v>
      </c>
      <c r="D6" s="69" t="s">
        <v>104</v>
      </c>
      <c r="E6" s="94">
        <f>C6/2</f>
        <v>5.0488451983398726</v>
      </c>
    </row>
    <row r="7" spans="2:7" x14ac:dyDescent="0.2">
      <c r="B7" s="69" t="s">
        <v>194</v>
      </c>
      <c r="C7" s="94">
        <f>C6+(CONVERT(VesselCharacteristics!C61,"m","mm")*2)</f>
        <v>14.097690396679745</v>
      </c>
      <c r="D7" s="69" t="s">
        <v>104</v>
      </c>
      <c r="E7" s="94">
        <f>C7/2</f>
        <v>7.0488451983398726</v>
      </c>
      <c r="G7" s="5"/>
    </row>
    <row r="8" spans="2:7" x14ac:dyDescent="0.2">
      <c r="B8" s="69" t="s">
        <v>191</v>
      </c>
      <c r="C8" s="94">
        <f>C5+CONVERT(VesselCharacteristics!C38,"m","mm")</f>
        <v>74.545445455883282</v>
      </c>
      <c r="D8" s="69" t="s">
        <v>104</v>
      </c>
    </row>
    <row r="9" spans="2:7" x14ac:dyDescent="0.2">
      <c r="B9" s="69" t="s">
        <v>192</v>
      </c>
      <c r="C9" s="94">
        <f>C8+CONVERT(VesselCharacteristics!C50,"m","mm")</f>
        <v>75.545445455883282</v>
      </c>
      <c r="D9" s="69" t="s">
        <v>104</v>
      </c>
    </row>
    <row r="10" spans="2:7" x14ac:dyDescent="0.2">
      <c r="B10" s="69" t="s">
        <v>218</v>
      </c>
      <c r="C10" s="94">
        <f>CONVERT(VesselCharacteristics!C48,"m","mm")</f>
        <v>4.1784540167878692</v>
      </c>
      <c r="D10" s="69" t="s">
        <v>104</v>
      </c>
      <c r="E10" s="94">
        <f>C10/2</f>
        <v>2.0892270083939346</v>
      </c>
      <c r="F10" s="94">
        <f>E10/E6</f>
        <v>0.41380294430118403</v>
      </c>
      <c r="G10" s="5"/>
    </row>
    <row r="11" spans="2:7" x14ac:dyDescent="0.2">
      <c r="B11" s="69" t="s">
        <v>219</v>
      </c>
      <c r="C11" s="94">
        <f>C17</f>
        <v>11.112500000000001</v>
      </c>
      <c r="D11" s="69" t="s">
        <v>104</v>
      </c>
      <c r="E11" s="94">
        <f>C11/2</f>
        <v>5.5562500000000004</v>
      </c>
      <c r="F11" s="94">
        <f>E11/E7</f>
        <v>0.78824968397782313</v>
      </c>
      <c r="G11" s="5"/>
    </row>
    <row r="12" spans="2:7" x14ac:dyDescent="0.2">
      <c r="B12" s="69" t="s">
        <v>217</v>
      </c>
      <c r="C12" s="94">
        <f>C9+CONVERT(VesselCharacteristics!C57,"m","mm")</f>
        <v>83.969550532665494</v>
      </c>
      <c r="D12" s="69" t="s">
        <v>104</v>
      </c>
    </row>
    <row r="13" spans="2:7" x14ac:dyDescent="0.2">
      <c r="B13" s="69" t="s">
        <v>220</v>
      </c>
      <c r="C13" s="94">
        <f>CONVERT(VesselCharacteristics!C54,"m","mm")</f>
        <v>5.6524814059271247</v>
      </c>
      <c r="D13" s="69" t="s">
        <v>104</v>
      </c>
      <c r="E13" s="94">
        <f>C13/2</f>
        <v>2.8262407029635623</v>
      </c>
      <c r="F13" s="94">
        <f>E13/E10</f>
        <v>1.3527686037029538</v>
      </c>
      <c r="G13" s="5"/>
    </row>
    <row r="14" spans="2:7" x14ac:dyDescent="0.2">
      <c r="B14" s="69" t="s">
        <v>230</v>
      </c>
      <c r="C14" s="94">
        <f>C4-10</f>
        <v>73.969550447016559</v>
      </c>
      <c r="D14" s="69" t="s">
        <v>104</v>
      </c>
      <c r="E14" s="94">
        <f>C14/2</f>
        <v>36.984775223508279</v>
      </c>
      <c r="G14" s="5"/>
    </row>
    <row r="15" spans="2:7" x14ac:dyDescent="0.2">
      <c r="B15" s="69" t="s">
        <v>195</v>
      </c>
      <c r="C15" s="94">
        <v>10</v>
      </c>
      <c r="D15" s="69" t="s">
        <v>104</v>
      </c>
    </row>
    <row r="16" spans="2:7" x14ac:dyDescent="0.2">
      <c r="B16" s="69" t="s">
        <v>224</v>
      </c>
      <c r="C16" s="94">
        <f>C4</f>
        <v>83.969550447016559</v>
      </c>
      <c r="D16" s="69" t="s">
        <v>104</v>
      </c>
    </row>
    <row r="17" spans="2:7" x14ac:dyDescent="0.2">
      <c r="B17" s="69" t="s">
        <v>231</v>
      </c>
      <c r="C17" s="69">
        <f>CONVERT((0.4375),"in","mm")</f>
        <v>11.112500000000001</v>
      </c>
      <c r="D17" s="69" t="s">
        <v>104</v>
      </c>
      <c r="E17" s="94">
        <f>C17/2</f>
        <v>5.5562500000000004</v>
      </c>
      <c r="G17" s="5"/>
    </row>
    <row r="18" spans="2:7" x14ac:dyDescent="0.2">
      <c r="B18" s="69" t="s">
        <v>196</v>
      </c>
      <c r="C18" s="69" t="s">
        <v>221</v>
      </c>
      <c r="E18" s="94"/>
    </row>
    <row r="19" spans="2:7" x14ac:dyDescent="0.2">
      <c r="B19" s="69"/>
      <c r="C19" s="69"/>
    </row>
    <row r="20" spans="2:7" x14ac:dyDescent="0.2">
      <c r="B20" s="5" t="s">
        <v>225</v>
      </c>
    </row>
    <row r="21" spans="2:7" x14ac:dyDescent="0.2">
      <c r="B21" s="69" t="s">
        <v>227</v>
      </c>
      <c r="C21" s="94">
        <f>C22-2.5</f>
        <v>71.469550447016559</v>
      </c>
      <c r="D21" s="69" t="s">
        <v>104</v>
      </c>
    </row>
    <row r="22" spans="2:7" x14ac:dyDescent="0.2">
      <c r="B22" s="69" t="s">
        <v>228</v>
      </c>
      <c r="C22" s="94">
        <f>C14</f>
        <v>73.969550447016559</v>
      </c>
      <c r="D22" s="69" t="s">
        <v>104</v>
      </c>
    </row>
    <row r="23" spans="2:7" x14ac:dyDescent="0.2">
      <c r="B23" s="69" t="s">
        <v>226</v>
      </c>
      <c r="C23">
        <f>C17+9</f>
        <v>20.112500000000001</v>
      </c>
      <c r="D23" s="69" t="s">
        <v>104</v>
      </c>
      <c r="E23">
        <f>C23/2</f>
        <v>10.05625</v>
      </c>
      <c r="F23">
        <f>E23/E17</f>
        <v>1.8098987626546681</v>
      </c>
      <c r="G23">
        <f>E17/E23</f>
        <v>0.55251709136109384</v>
      </c>
    </row>
    <row r="24" spans="2:7" x14ac:dyDescent="0.2">
      <c r="B24" s="69"/>
    </row>
    <row r="25" spans="2:7" x14ac:dyDescent="0.2">
      <c r="E25" s="69"/>
    </row>
    <row r="26" spans="2:7" x14ac:dyDescent="0.2">
      <c r="B26" s="5" t="s">
        <v>197</v>
      </c>
    </row>
    <row r="27" spans="2:7" x14ac:dyDescent="0.2">
      <c r="B27" s="69" t="s">
        <v>229</v>
      </c>
      <c r="C27">
        <v>15</v>
      </c>
      <c r="D27" s="69" t="s">
        <v>104</v>
      </c>
      <c r="E27">
        <f>13.111/2+C27</f>
        <v>21.555500000000002</v>
      </c>
    </row>
    <row r="28" spans="2:7" x14ac:dyDescent="0.2">
      <c r="B28" s="69" t="s">
        <v>232</v>
      </c>
      <c r="C28">
        <v>45</v>
      </c>
      <c r="D28" s="69" t="s">
        <v>104</v>
      </c>
    </row>
    <row r="29" spans="2:7" x14ac:dyDescent="0.2">
      <c r="B29" s="69" t="s">
        <v>204</v>
      </c>
      <c r="C29">
        <v>23.444500000000001</v>
      </c>
      <c r="D29" s="69" t="s">
        <v>104</v>
      </c>
      <c r="E29">
        <f>13.111/2+C29</f>
        <v>30</v>
      </c>
    </row>
    <row r="30" spans="2:7" x14ac:dyDescent="0.2">
      <c r="B30" s="69" t="s">
        <v>202</v>
      </c>
      <c r="C30">
        <v>0.33900000000000002</v>
      </c>
      <c r="D30" s="69" t="s">
        <v>201</v>
      </c>
      <c r="E30">
        <f>CONVERT(C30,"in","mm")</f>
        <v>8.6105999999999998</v>
      </c>
      <c r="F30">
        <f>E30/2</f>
        <v>4.3052999999999999</v>
      </c>
    </row>
    <row r="31" spans="2:7" x14ac:dyDescent="0.2">
      <c r="B31" s="69" t="s">
        <v>203</v>
      </c>
      <c r="C31" s="69" t="s">
        <v>199</v>
      </c>
      <c r="D31" s="69" t="s">
        <v>200</v>
      </c>
      <c r="E31">
        <f>8.2/E30</f>
        <v>0.95231458899495969</v>
      </c>
    </row>
    <row r="32" spans="2:7" x14ac:dyDescent="0.2">
      <c r="B32" s="69" t="s">
        <v>206</v>
      </c>
      <c r="C32" t="s">
        <v>207</v>
      </c>
    </row>
    <row r="33" spans="2:9" x14ac:dyDescent="0.2">
      <c r="B33" s="69" t="s">
        <v>205</v>
      </c>
      <c r="C33">
        <f>9*0.95</f>
        <v>8.5499999999999989</v>
      </c>
      <c r="D33" s="69" t="s">
        <v>104</v>
      </c>
      <c r="E33">
        <f>C33/2</f>
        <v>4.2749999999999995</v>
      </c>
      <c r="F33" s="94">
        <f>9.5/C33</f>
        <v>1.1111111111111112</v>
      </c>
    </row>
    <row r="34" spans="2:9" x14ac:dyDescent="0.2">
      <c r="B34" s="69" t="s">
        <v>208</v>
      </c>
      <c r="C34">
        <v>8</v>
      </c>
      <c r="D34" s="69" t="s">
        <v>104</v>
      </c>
    </row>
    <row r="35" spans="2:9" x14ac:dyDescent="0.2">
      <c r="B35" s="69" t="s">
        <v>233</v>
      </c>
      <c r="C35">
        <v>15</v>
      </c>
      <c r="D35" s="69" t="s">
        <v>104</v>
      </c>
      <c r="E35">
        <f>C35/2</f>
        <v>7.5</v>
      </c>
      <c r="F35">
        <f>C35/C37</f>
        <v>1.25</v>
      </c>
    </row>
    <row r="36" spans="2:9" x14ac:dyDescent="0.2">
      <c r="B36" s="69" t="s">
        <v>235</v>
      </c>
      <c r="C36">
        <v>2.5</v>
      </c>
      <c r="D36" s="69" t="s">
        <v>104</v>
      </c>
    </row>
    <row r="37" spans="2:9" x14ac:dyDescent="0.2">
      <c r="B37" s="69" t="s">
        <v>234</v>
      </c>
      <c r="C37">
        <f>10+2</f>
        <v>12</v>
      </c>
      <c r="D37" s="69" t="s">
        <v>104</v>
      </c>
      <c r="E37">
        <f>C37/2</f>
        <v>6</v>
      </c>
    </row>
    <row r="39" spans="2:9" x14ac:dyDescent="0.2">
      <c r="E39">
        <v>8.25</v>
      </c>
    </row>
    <row r="40" spans="2:9" x14ac:dyDescent="0.2">
      <c r="E40">
        <f>E39/E30</f>
        <v>0.95812138526931923</v>
      </c>
    </row>
    <row r="41" spans="2:9" x14ac:dyDescent="0.2">
      <c r="E41">
        <v>-9.0500000000000007</v>
      </c>
      <c r="F41">
        <v>-11.55</v>
      </c>
      <c r="G41">
        <f>F41-E41</f>
        <v>-2.5</v>
      </c>
      <c r="H41">
        <f>-5.5+G41</f>
        <v>-8</v>
      </c>
    </row>
    <row r="42" spans="2:9" x14ac:dyDescent="0.2">
      <c r="C42" s="151"/>
    </row>
    <row r="43" spans="2:9" x14ac:dyDescent="0.2">
      <c r="G43">
        <f>2.24+2.5+2</f>
        <v>6.74</v>
      </c>
      <c r="H43">
        <v>8</v>
      </c>
      <c r="I43">
        <v>-9.8991399999999992</v>
      </c>
    </row>
    <row r="44" spans="2:9" x14ac:dyDescent="0.2">
      <c r="C44" s="222"/>
      <c r="I44">
        <f>I43+(H43-G43)*-1</f>
        <v>-11.159139999999999</v>
      </c>
    </row>
    <row r="45" spans="2:9" x14ac:dyDescent="0.2">
      <c r="C45" s="151"/>
      <c r="E45">
        <v>6.4</v>
      </c>
      <c r="F45">
        <v>13.430339999999999</v>
      </c>
      <c r="G45">
        <v>15.930339999999999</v>
      </c>
    </row>
    <row r="46" spans="2:9" x14ac:dyDescent="0.2">
      <c r="E46" s="223">
        <v>5.5</v>
      </c>
      <c r="F46" s="223">
        <f>E47</f>
        <v>0.90000000000000036</v>
      </c>
      <c r="G46" s="223">
        <f>F46</f>
        <v>0.90000000000000036</v>
      </c>
    </row>
    <row r="47" spans="2:9" x14ac:dyDescent="0.2">
      <c r="C47" s="221"/>
      <c r="E47">
        <f>E45-E46</f>
        <v>0.90000000000000036</v>
      </c>
      <c r="F47">
        <f>F45-F46</f>
        <v>12.530339999999999</v>
      </c>
      <c r="G47">
        <f>G45-G46</f>
        <v>15.030339999999999</v>
      </c>
    </row>
    <row r="48" spans="2:9" x14ac:dyDescent="0.2">
      <c r="B48" s="69"/>
      <c r="C48" s="69"/>
      <c r="F48" s="69"/>
      <c r="H48" s="69"/>
    </row>
    <row r="49" spans="2:8" x14ac:dyDescent="0.2">
      <c r="B49" s="69"/>
      <c r="C49" s="205"/>
      <c r="D49" s="69"/>
      <c r="E49" s="205"/>
      <c r="F49" s="205"/>
    </row>
    <row r="50" spans="2:8" x14ac:dyDescent="0.2">
      <c r="B50" s="69"/>
      <c r="C50" s="205"/>
      <c r="D50" s="69"/>
      <c r="E50" s="151"/>
      <c r="F50" s="69"/>
    </row>
    <row r="51" spans="2:8" x14ac:dyDescent="0.2">
      <c r="B51" s="69"/>
      <c r="C51" s="151"/>
      <c r="D51" s="69"/>
      <c r="E51" s="151"/>
      <c r="F51" s="69"/>
    </row>
    <row r="52" spans="2:8" x14ac:dyDescent="0.2">
      <c r="B52" s="69"/>
      <c r="D52" s="69"/>
      <c r="E52" s="151"/>
      <c r="F52" s="69"/>
      <c r="G52" s="94"/>
      <c r="H52" s="69"/>
    </row>
    <row r="53" spans="2:8" x14ac:dyDescent="0.2">
      <c r="B53" s="69"/>
      <c r="D53" s="69"/>
      <c r="E53" s="151"/>
      <c r="H53" s="69"/>
    </row>
    <row r="54" spans="2:8" x14ac:dyDescent="0.2">
      <c r="B54" s="69"/>
      <c r="D54" s="69"/>
      <c r="F54" s="69"/>
      <c r="G54" s="92"/>
      <c r="H54" s="205"/>
    </row>
    <row r="55" spans="2:8" x14ac:dyDescent="0.2">
      <c r="B55" s="69"/>
      <c r="C55" s="94"/>
      <c r="D55" s="69"/>
      <c r="E55" s="151"/>
      <c r="F55" s="69"/>
      <c r="G55" s="89"/>
      <c r="H55" s="69"/>
    </row>
    <row r="56" spans="2:8" x14ac:dyDescent="0.2">
      <c r="B56" s="69"/>
      <c r="C56" s="151"/>
      <c r="D56" s="69"/>
      <c r="E56" s="151"/>
      <c r="F56" s="69"/>
      <c r="H56" s="69"/>
    </row>
    <row r="57" spans="2:8" x14ac:dyDescent="0.2">
      <c r="B57" s="69"/>
      <c r="C57" s="151"/>
      <c r="D57" s="69"/>
      <c r="E57" s="151"/>
      <c r="F57" s="69"/>
      <c r="H57" s="69"/>
    </row>
    <row r="58" spans="2:8" x14ac:dyDescent="0.2">
      <c r="B58" s="69"/>
      <c r="C58" s="69"/>
      <c r="F58" s="69"/>
      <c r="H58" s="69"/>
    </row>
    <row r="59" spans="2:8" x14ac:dyDescent="0.2">
      <c r="B59" s="69"/>
      <c r="D59" s="69"/>
      <c r="E59" s="151"/>
      <c r="F59" s="205"/>
      <c r="G59" s="91"/>
      <c r="H59" s="69"/>
    </row>
    <row r="60" spans="2:8" x14ac:dyDescent="0.2">
      <c r="B60" s="69"/>
      <c r="C60" s="94"/>
      <c r="D60" s="69"/>
      <c r="E60" s="151"/>
      <c r="F60" s="69"/>
      <c r="G60" s="95"/>
      <c r="H60" s="69"/>
    </row>
    <row r="61" spans="2:8" x14ac:dyDescent="0.2">
      <c r="B61" s="69"/>
      <c r="C61" s="69"/>
      <c r="D61" s="69"/>
      <c r="F61" s="69"/>
      <c r="H61" s="69"/>
    </row>
    <row r="62" spans="2:8" x14ac:dyDescent="0.2">
      <c r="B62" s="69"/>
      <c r="C62" s="94"/>
      <c r="D62" s="69"/>
      <c r="E62" s="151"/>
      <c r="F62" s="180"/>
      <c r="H62" s="69"/>
    </row>
    <row r="63" spans="2:8" x14ac:dyDescent="0.2">
      <c r="B63" s="69"/>
      <c r="D63" s="69"/>
      <c r="E63" s="151"/>
      <c r="F63" s="206"/>
      <c r="G63" s="90"/>
      <c r="H63" s="90"/>
    </row>
    <row r="64" spans="2:8" x14ac:dyDescent="0.2">
      <c r="B64" s="69"/>
      <c r="C64" s="92"/>
      <c r="D64" s="69"/>
      <c r="E64" s="151"/>
      <c r="F64" s="69"/>
      <c r="G64" s="89"/>
      <c r="H64" s="69"/>
    </row>
    <row r="65" spans="1:9" x14ac:dyDescent="0.2">
      <c r="B65" s="69"/>
      <c r="C65" s="89"/>
      <c r="D65" s="69"/>
      <c r="F65" s="69"/>
      <c r="H65" s="69"/>
    </row>
    <row r="66" spans="1:9" x14ac:dyDescent="0.2">
      <c r="B66" s="69"/>
      <c r="D66" s="69"/>
      <c r="E66" s="151"/>
      <c r="F66" s="69"/>
      <c r="H66" s="69"/>
    </row>
    <row r="67" spans="1:9" x14ac:dyDescent="0.2">
      <c r="C67" s="69"/>
      <c r="D67" s="69"/>
      <c r="F67" s="62"/>
      <c r="G67" s="91"/>
      <c r="H67" s="69"/>
    </row>
    <row r="69" spans="1:9" x14ac:dyDescent="0.2">
      <c r="F69" s="5"/>
    </row>
    <row r="70" spans="1:9" x14ac:dyDescent="0.2">
      <c r="B70" s="69"/>
      <c r="C70" s="69"/>
      <c r="D70" s="69"/>
      <c r="G70" s="151"/>
    </row>
    <row r="71" spans="1:9" x14ac:dyDescent="0.2">
      <c r="B71" s="69"/>
      <c r="H71" s="151"/>
      <c r="I71" s="151"/>
    </row>
    <row r="72" spans="1:9" x14ac:dyDescent="0.2">
      <c r="B72" s="69"/>
      <c r="D72" s="69"/>
    </row>
    <row r="73" spans="1:9" x14ac:dyDescent="0.2">
      <c r="A73" s="69"/>
      <c r="C73" s="69"/>
    </row>
    <row r="74" spans="1:9" x14ac:dyDescent="0.2">
      <c r="A74" s="69"/>
    </row>
    <row r="77" spans="1:9" x14ac:dyDescent="0.2">
      <c r="E77" s="88"/>
    </row>
  </sheetData>
  <pageMargins left="0.25" right="0.25" top="0.75" bottom="0.75" header="0.3" footer="0.3"/>
  <pageSetup scale="37"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VesselCharacteristics</vt:lpstr>
      <vt:lpstr>Igniter Design</vt:lpstr>
      <vt:lpstr>hgNominal</vt:lpstr>
      <vt:lpstr>'Igniter Design'!Print_Area</vt:lpstr>
      <vt:lpstr>Rd_t</vt:lpstr>
      <vt:lpstr>sigma_t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Sortino</dc:creator>
  <cp:lastModifiedBy>gNSortino</cp:lastModifiedBy>
  <cp:lastPrinted>2011-08-05T13:32:17Z</cp:lastPrinted>
  <dcterms:created xsi:type="dcterms:W3CDTF">1996-10-14T23:33:28Z</dcterms:created>
  <dcterms:modified xsi:type="dcterms:W3CDTF">2014-11-02T01:49:53Z</dcterms:modified>
</cp:coreProperties>
</file>