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\Desktop\数据分析项目\EXCEL\"/>
    </mc:Choice>
  </mc:AlternateContent>
  <xr:revisionPtr revIDLastSave="0" documentId="13_ncr:1_{1EDDBBD0-FCDD-434B-86AA-9B5FEAB5F229}" xr6:coauthVersionLast="47" xr6:coauthVersionMax="47" xr10:uidLastSave="{00000000-0000-0000-0000-000000000000}"/>
  <bookViews>
    <workbookView xWindow="5265" yWindow="1140" windowWidth="38700" windowHeight="15345" activeTab="6" xr2:uid="{305F8E77-38C1-4EFD-91CE-8379E325F1D1}"/>
  </bookViews>
  <sheets>
    <sheet name="拌客源数据1-8月" sheetId="2" r:id="rId1"/>
    <sheet name="常用函数-练习版" sheetId="18" state="hidden" r:id="rId2"/>
    <sheet name="常用函数-完成版" sheetId="4" state="hidden" r:id="rId3"/>
    <sheet name="数据透视图表-完成版" sheetId="28" state="hidden" r:id="rId4"/>
    <sheet name="大厂周报-完成版" sheetId="3" state="hidden" r:id="rId5"/>
    <sheet name="大厂周报-练习版" sheetId="16" state="hidden" r:id="rId6"/>
    <sheet name="数据周报" sheetId="30" r:id="rId7"/>
    <sheet name="源数据备份" sheetId="29" state="hidden" r:id="rId8"/>
  </sheets>
  <definedNames>
    <definedName name="_xlnm._FilterDatabase" localSheetId="0" hidden="1">'拌客源数据1-8月'!$A$1:$X$562</definedName>
    <definedName name="_xlnm._FilterDatabase" localSheetId="7" hidden="1">源数据备份!$A$1:$X$562</definedName>
    <definedName name="切片器_平台i1">#N/A</definedName>
  </definedNames>
  <calcPr calcId="191029"/>
  <pivotCaches>
    <pivotCache cacheId="0" r:id="rId9"/>
    <pivotCache cacheId="1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30" l="1"/>
  <c r="H32" i="3"/>
  <c r="H26" i="30"/>
  <c r="H29" i="30"/>
  <c r="B1" i="3"/>
  <c r="G7" i="16"/>
  <c r="H4" i="30"/>
  <c r="H8" i="16"/>
  <c r="F26" i="30"/>
  <c r="C13" i="3"/>
  <c r="C13" i="16"/>
  <c r="G13" i="3"/>
  <c r="A26" i="30"/>
  <c r="C26" i="30" s="1"/>
  <c r="A14" i="3"/>
  <c r="A15" i="3" s="1"/>
  <c r="A16" i="3" s="1"/>
  <c r="A14" i="30"/>
  <c r="A15" i="30" s="1"/>
  <c r="A16" i="30" s="1"/>
  <c r="A17" i="30" s="1"/>
  <c r="A18" i="30" s="1"/>
  <c r="A19" i="30" s="1"/>
  <c r="A20" i="30" s="1"/>
  <c r="B20" i="30" s="1"/>
  <c r="A2" i="30"/>
  <c r="B1" i="16"/>
  <c r="D1" i="30"/>
  <c r="A14" i="16"/>
  <c r="C39" i="18"/>
  <c r="D39" i="18" s="1"/>
  <c r="E80" i="18"/>
  <c r="F13" i="16"/>
  <c r="D13" i="16"/>
  <c r="G13" i="16"/>
  <c r="B25" i="16"/>
  <c r="A25" i="16"/>
  <c r="C25" i="16" s="1"/>
  <c r="B13" i="16"/>
  <c r="B14" i="16"/>
  <c r="H112" i="18"/>
  <c r="I112" i="18"/>
  <c r="H113" i="18"/>
  <c r="I113" i="18"/>
  <c r="H114" i="18"/>
  <c r="I114" i="18"/>
  <c r="H115" i="18"/>
  <c r="I115" i="18"/>
  <c r="H116" i="18"/>
  <c r="I116" i="18"/>
  <c r="H117" i="18"/>
  <c r="I117" i="18"/>
  <c r="H118" i="18"/>
  <c r="I118" i="18"/>
  <c r="H119" i="18"/>
  <c r="I119" i="18"/>
  <c r="H120" i="18"/>
  <c r="I120" i="18"/>
  <c r="H121" i="18"/>
  <c r="I121" i="18"/>
  <c r="H122" i="18"/>
  <c r="I122" i="18"/>
  <c r="H123" i="18"/>
  <c r="I123" i="18"/>
  <c r="H124" i="18"/>
  <c r="I124" i="18"/>
  <c r="H125" i="18"/>
  <c r="I125" i="18"/>
  <c r="H126" i="18"/>
  <c r="I126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12" i="18"/>
  <c r="C31" i="18"/>
  <c r="C30" i="18"/>
  <c r="D30" i="18"/>
  <c r="D71" i="18"/>
  <c r="E81" i="18"/>
  <c r="D113" i="18"/>
  <c r="E113" i="18"/>
  <c r="F113" i="18"/>
  <c r="D114" i="18"/>
  <c r="E114" i="18"/>
  <c r="F114" i="18"/>
  <c r="D115" i="18"/>
  <c r="E115" i="18"/>
  <c r="F115" i="18"/>
  <c r="D116" i="18"/>
  <c r="E116" i="18"/>
  <c r="F116" i="18"/>
  <c r="D117" i="18"/>
  <c r="E117" i="18"/>
  <c r="F117" i="18"/>
  <c r="D118" i="18"/>
  <c r="E118" i="18"/>
  <c r="F118" i="18"/>
  <c r="D119" i="18"/>
  <c r="E119" i="18"/>
  <c r="F119" i="18"/>
  <c r="D120" i="18"/>
  <c r="E120" i="18"/>
  <c r="F120" i="18"/>
  <c r="D121" i="18"/>
  <c r="E121" i="18"/>
  <c r="F121" i="18"/>
  <c r="D122" i="18"/>
  <c r="E122" i="18"/>
  <c r="F122" i="18"/>
  <c r="D123" i="18"/>
  <c r="E123" i="18"/>
  <c r="F123" i="18"/>
  <c r="D124" i="18"/>
  <c r="E124" i="18"/>
  <c r="F124" i="18"/>
  <c r="D125" i="18"/>
  <c r="E125" i="18"/>
  <c r="F125" i="18"/>
  <c r="D126" i="18"/>
  <c r="E126" i="18"/>
  <c r="F126" i="18"/>
  <c r="E112" i="18"/>
  <c r="F112" i="18"/>
  <c r="D112" i="18"/>
  <c r="C97" i="18"/>
  <c r="C98" i="18"/>
  <c r="C99" i="18"/>
  <c r="C100" i="18"/>
  <c r="C101" i="18"/>
  <c r="C102" i="18"/>
  <c r="C103" i="18"/>
  <c r="C96" i="18"/>
  <c r="F81" i="18"/>
  <c r="F82" i="18"/>
  <c r="F83" i="18"/>
  <c r="F84" i="18"/>
  <c r="F85" i="18"/>
  <c r="F86" i="18"/>
  <c r="F87" i="18"/>
  <c r="F80" i="18"/>
  <c r="E82" i="18"/>
  <c r="E83" i="18"/>
  <c r="E84" i="18"/>
  <c r="E85" i="18"/>
  <c r="E86" i="18"/>
  <c r="E87" i="18"/>
  <c r="D65" i="18"/>
  <c r="D66" i="18"/>
  <c r="D67" i="18"/>
  <c r="D68" i="18"/>
  <c r="D69" i="18"/>
  <c r="D70" i="18"/>
  <c r="D64" i="18"/>
  <c r="C40" i="18"/>
  <c r="D40" i="18" s="1"/>
  <c r="C41" i="18"/>
  <c r="D41" i="18" s="1"/>
  <c r="C42" i="18"/>
  <c r="D42" i="18" s="1"/>
  <c r="C43" i="18"/>
  <c r="D43" i="18" s="1"/>
  <c r="C44" i="18"/>
  <c r="D44" i="18" s="1"/>
  <c r="C45" i="18"/>
  <c r="D45" i="18" s="1"/>
  <c r="C46" i="18"/>
  <c r="D46" i="18" s="1"/>
  <c r="G40" i="18"/>
  <c r="G41" i="18"/>
  <c r="G42" i="18"/>
  <c r="G43" i="18"/>
  <c r="G44" i="18"/>
  <c r="G45" i="18"/>
  <c r="G46" i="18"/>
  <c r="G39" i="18"/>
  <c r="E40" i="18"/>
  <c r="E41" i="18"/>
  <c r="E42" i="18"/>
  <c r="E43" i="18"/>
  <c r="E44" i="18"/>
  <c r="E45" i="18"/>
  <c r="E46" i="18"/>
  <c r="E39" i="18"/>
  <c r="F30" i="18"/>
  <c r="I31" i="18"/>
  <c r="I32" i="18"/>
  <c r="I33" i="18"/>
  <c r="I34" i="18"/>
  <c r="I35" i="18"/>
  <c r="I36" i="18"/>
  <c r="I30" i="18"/>
  <c r="J31" i="18"/>
  <c r="J32" i="18"/>
  <c r="J33" i="18"/>
  <c r="J34" i="18"/>
  <c r="J35" i="18"/>
  <c r="J36" i="18"/>
  <c r="J30" i="18"/>
  <c r="H31" i="18"/>
  <c r="H32" i="18"/>
  <c r="H33" i="18"/>
  <c r="H34" i="18"/>
  <c r="H35" i="18"/>
  <c r="H36" i="18"/>
  <c r="H30" i="18"/>
  <c r="G31" i="18"/>
  <c r="G32" i="18"/>
  <c r="G33" i="18"/>
  <c r="G34" i="18"/>
  <c r="G35" i="18"/>
  <c r="G36" i="18"/>
  <c r="G30" i="18"/>
  <c r="F31" i="18"/>
  <c r="F32" i="18"/>
  <c r="F33" i="18"/>
  <c r="F34" i="18"/>
  <c r="F35" i="18"/>
  <c r="F36" i="18"/>
  <c r="D31" i="18"/>
  <c r="D32" i="18"/>
  <c r="D33" i="18"/>
  <c r="D34" i="18"/>
  <c r="D35" i="18"/>
  <c r="D36" i="18"/>
  <c r="C32" i="18"/>
  <c r="E32" i="18" s="1"/>
  <c r="C33" i="18"/>
  <c r="E33" i="18" s="1"/>
  <c r="C34" i="18"/>
  <c r="E34" i="18" s="1"/>
  <c r="C35" i="18"/>
  <c r="C36" i="18"/>
  <c r="E36" i="18" s="1"/>
  <c r="C16" i="18"/>
  <c r="C17" i="18"/>
  <c r="C18" i="18"/>
  <c r="C19" i="18"/>
  <c r="C20" i="18"/>
  <c r="C21" i="18"/>
  <c r="C15" i="18"/>
  <c r="D15" i="18" s="1"/>
  <c r="D5" i="18"/>
  <c r="C5" i="18"/>
  <c r="D13" i="3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H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P93" i="4"/>
  <c r="C96" i="4"/>
  <c r="K83" i="4"/>
  <c r="K82" i="4"/>
  <c r="K81" i="4"/>
  <c r="K80" i="4"/>
  <c r="D64" i="4"/>
  <c r="D65" i="4"/>
  <c r="D66" i="4"/>
  <c r="D67" i="4"/>
  <c r="D68" i="4"/>
  <c r="D69" i="4"/>
  <c r="D70" i="4"/>
  <c r="D71" i="4"/>
  <c r="D40" i="4"/>
  <c r="D41" i="4"/>
  <c r="D42" i="4"/>
  <c r="D43" i="4"/>
  <c r="D44" i="4"/>
  <c r="D45" i="4"/>
  <c r="D46" i="4"/>
  <c r="D39" i="4"/>
  <c r="C39" i="4"/>
  <c r="C40" i="4"/>
  <c r="C41" i="4"/>
  <c r="C42" i="4"/>
  <c r="C43" i="4"/>
  <c r="C44" i="4"/>
  <c r="C45" i="4"/>
  <c r="C46" i="4"/>
  <c r="J31" i="4"/>
  <c r="J32" i="4"/>
  <c r="J33" i="4"/>
  <c r="J34" i="4"/>
  <c r="J35" i="4"/>
  <c r="J36" i="4"/>
  <c r="J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I30" i="4"/>
  <c r="H30" i="4"/>
  <c r="G30" i="4"/>
  <c r="F30" i="4"/>
  <c r="C15" i="4"/>
  <c r="C16" i="4"/>
  <c r="C17" i="4"/>
  <c r="C18" i="4"/>
  <c r="C19" i="4"/>
  <c r="C20" i="4"/>
  <c r="C21" i="4"/>
  <c r="H8" i="3"/>
  <c r="D12" i="4"/>
  <c r="E80" i="4"/>
  <c r="A17" i="3" l="1"/>
  <c r="A18" i="3" s="1"/>
  <c r="A19" i="3" s="1"/>
  <c r="C16" i="3"/>
  <c r="D14" i="30"/>
  <c r="C14" i="30"/>
  <c r="F14" i="30"/>
  <c r="D26" i="30"/>
  <c r="G26" i="30" s="1"/>
  <c r="D16" i="30"/>
  <c r="E35" i="18"/>
  <c r="F20" i="30"/>
  <c r="G19" i="30"/>
  <c r="A27" i="30"/>
  <c r="D20" i="30"/>
  <c r="B26" i="30"/>
  <c r="D18" i="30"/>
  <c r="C18" i="30"/>
  <c r="F17" i="30"/>
  <c r="D17" i="30"/>
  <c r="C17" i="30"/>
  <c r="F16" i="30"/>
  <c r="G15" i="30"/>
  <c r="G14" i="30"/>
  <c r="G20" i="30"/>
  <c r="G16" i="30"/>
  <c r="C20" i="30"/>
  <c r="C16" i="30"/>
  <c r="F19" i="30"/>
  <c r="F15" i="30"/>
  <c r="D19" i="30"/>
  <c r="D15" i="30"/>
  <c r="C19" i="30"/>
  <c r="C15" i="30"/>
  <c r="G18" i="30"/>
  <c r="F18" i="30"/>
  <c r="G17" i="30"/>
  <c r="B14" i="30"/>
  <c r="B19" i="30"/>
  <c r="B18" i="30"/>
  <c r="B17" i="30"/>
  <c r="B16" i="30"/>
  <c r="B15" i="30"/>
  <c r="H13" i="16"/>
  <c r="A26" i="16"/>
  <c r="C26" i="16" s="1"/>
  <c r="F14" i="16"/>
  <c r="D14" i="16"/>
  <c r="F26" i="16"/>
  <c r="D26" i="16"/>
  <c r="F25" i="16"/>
  <c r="B26" i="16"/>
  <c r="D25" i="16"/>
  <c r="C14" i="16"/>
  <c r="H26" i="16" s="1"/>
  <c r="G14" i="16"/>
  <c r="H25" i="16"/>
  <c r="E30" i="18"/>
  <c r="E31" i="18"/>
  <c r="A15" i="16"/>
  <c r="D18" i="3"/>
  <c r="D17" i="3"/>
  <c r="D16" i="3"/>
  <c r="D15" i="3"/>
  <c r="D14" i="3"/>
  <c r="D19" i="3" l="1"/>
  <c r="D20" i="3" s="1"/>
  <c r="G7" i="3"/>
  <c r="E14" i="30"/>
  <c r="H27" i="30"/>
  <c r="H15" i="30"/>
  <c r="D27" i="30"/>
  <c r="F27" i="30"/>
  <c r="C27" i="30"/>
  <c r="B27" i="30"/>
  <c r="H18" i="30"/>
  <c r="E18" i="30"/>
  <c r="E17" i="30"/>
  <c r="H14" i="30"/>
  <c r="E26" i="30"/>
  <c r="A28" i="30"/>
  <c r="H28" i="30" s="1"/>
  <c r="H17" i="30"/>
  <c r="D21" i="30"/>
  <c r="H20" i="30"/>
  <c r="H16" i="30"/>
  <c r="F21" i="30"/>
  <c r="A9" i="30" s="1"/>
  <c r="B9" i="30" s="1"/>
  <c r="G21" i="30"/>
  <c r="E19" i="30"/>
  <c r="C21" i="30"/>
  <c r="E16" i="30"/>
  <c r="E20" i="30"/>
  <c r="H19" i="30"/>
  <c r="E15" i="30"/>
  <c r="E14" i="16"/>
  <c r="E26" i="16"/>
  <c r="G26" i="16"/>
  <c r="D15" i="16"/>
  <c r="C15" i="16"/>
  <c r="F15" i="16"/>
  <c r="G15" i="16"/>
  <c r="B27" i="16"/>
  <c r="A27" i="16"/>
  <c r="G25" i="16"/>
  <c r="E25" i="16"/>
  <c r="H14" i="16"/>
  <c r="A16" i="16"/>
  <c r="B15" i="16"/>
  <c r="D1" i="3"/>
  <c r="G3" i="30" l="1"/>
  <c r="G27" i="30"/>
  <c r="E21" i="30"/>
  <c r="E9" i="30" s="1"/>
  <c r="F9" i="30" s="1"/>
  <c r="C9" i="30"/>
  <c r="D9" i="30" s="1"/>
  <c r="D28" i="30"/>
  <c r="F28" i="30"/>
  <c r="C28" i="30"/>
  <c r="E27" i="30"/>
  <c r="A29" i="30"/>
  <c r="B28" i="30"/>
  <c r="H21" i="30"/>
  <c r="H27" i="16"/>
  <c r="H15" i="16"/>
  <c r="C27" i="16"/>
  <c r="D27" i="16"/>
  <c r="F27" i="16"/>
  <c r="E15" i="16"/>
  <c r="C16" i="16"/>
  <c r="F16" i="16"/>
  <c r="D16" i="16"/>
  <c r="G16" i="16"/>
  <c r="B28" i="16"/>
  <c r="A28" i="16"/>
  <c r="A17" i="16"/>
  <c r="B16" i="16"/>
  <c r="F26" i="3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F14" i="3"/>
  <c r="G14" i="3"/>
  <c r="F15" i="3"/>
  <c r="G15" i="3"/>
  <c r="F16" i="3"/>
  <c r="G16" i="3"/>
  <c r="F17" i="3"/>
  <c r="G17" i="3"/>
  <c r="F18" i="3"/>
  <c r="G18" i="3"/>
  <c r="F19" i="3"/>
  <c r="G19" i="3"/>
  <c r="F13" i="3"/>
  <c r="C14" i="3"/>
  <c r="C15" i="3"/>
  <c r="H27" i="3" s="1"/>
  <c r="H28" i="3"/>
  <c r="C17" i="3"/>
  <c r="H29" i="3" s="1"/>
  <c r="C18" i="3"/>
  <c r="H30" i="3" s="1"/>
  <c r="C19" i="3"/>
  <c r="H31" i="3" s="1"/>
  <c r="H25" i="3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P97" i="4"/>
  <c r="P98" i="4"/>
  <c r="P99" i="4"/>
  <c r="P100" i="4"/>
  <c r="P101" i="4"/>
  <c r="P102" i="4"/>
  <c r="P103" i="4"/>
  <c r="P96" i="4"/>
  <c r="J99" i="4"/>
  <c r="J96" i="4"/>
  <c r="C97" i="4"/>
  <c r="C98" i="4"/>
  <c r="C99" i="4"/>
  <c r="C100" i="4"/>
  <c r="C101" i="4"/>
  <c r="C102" i="4"/>
  <c r="C103" i="4"/>
  <c r="E81" i="4"/>
  <c r="E82" i="4"/>
  <c r="E83" i="4"/>
  <c r="E84" i="4"/>
  <c r="E85" i="4"/>
  <c r="E86" i="4"/>
  <c r="E87" i="4"/>
  <c r="D55" i="4"/>
  <c r="C55" i="4"/>
  <c r="C36" i="4"/>
  <c r="E39" i="4"/>
  <c r="G40" i="4"/>
  <c r="G41" i="4"/>
  <c r="G42" i="4"/>
  <c r="G43" i="4"/>
  <c r="G44" i="4"/>
  <c r="G45" i="4"/>
  <c r="G46" i="4"/>
  <c r="G39" i="4"/>
  <c r="F41" i="4"/>
  <c r="F42" i="4"/>
  <c r="F43" i="4"/>
  <c r="F44" i="4"/>
  <c r="F45" i="4"/>
  <c r="F46" i="4"/>
  <c r="F40" i="4"/>
  <c r="F39" i="4"/>
  <c r="E40" i="4"/>
  <c r="E41" i="4"/>
  <c r="E42" i="4"/>
  <c r="E43" i="4"/>
  <c r="E44" i="4"/>
  <c r="E45" i="4"/>
  <c r="E46" i="4"/>
  <c r="E31" i="4"/>
  <c r="E32" i="4"/>
  <c r="E33" i="4"/>
  <c r="E34" i="4"/>
  <c r="E35" i="4"/>
  <c r="E36" i="4"/>
  <c r="E30" i="4"/>
  <c r="D34" i="4"/>
  <c r="D31" i="4"/>
  <c r="D32" i="4"/>
  <c r="D33" i="4"/>
  <c r="D35" i="4"/>
  <c r="D36" i="4"/>
  <c r="D30" i="4"/>
  <c r="C31" i="4"/>
  <c r="C32" i="4"/>
  <c r="C33" i="4"/>
  <c r="C34" i="4"/>
  <c r="C35" i="4"/>
  <c r="C30" i="4"/>
  <c r="D5" i="4"/>
  <c r="C5" i="4"/>
  <c r="D29" i="30" l="1"/>
  <c r="C29" i="30"/>
  <c r="F29" i="30"/>
  <c r="E28" i="30"/>
  <c r="G28" i="30"/>
  <c r="A30" i="30"/>
  <c r="B29" i="30"/>
  <c r="G25" i="3"/>
  <c r="E16" i="16"/>
  <c r="C28" i="16"/>
  <c r="D28" i="16"/>
  <c r="F28" i="16"/>
  <c r="H28" i="16"/>
  <c r="H16" i="16"/>
  <c r="A29" i="16"/>
  <c r="C17" i="16"/>
  <c r="D17" i="16"/>
  <c r="F17" i="16"/>
  <c r="G17" i="16"/>
  <c r="B29" i="16"/>
  <c r="G27" i="16"/>
  <c r="E27" i="16"/>
  <c r="A18" i="16"/>
  <c r="B17" i="16"/>
  <c r="C6" i="4"/>
  <c r="G20" i="3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F30" i="30" l="1"/>
  <c r="C30" i="30"/>
  <c r="D30" i="30"/>
  <c r="H30" i="30"/>
  <c r="G29" i="30"/>
  <c r="E29" i="30"/>
  <c r="A31" i="30"/>
  <c r="B30" i="30"/>
  <c r="G28" i="16"/>
  <c r="E28" i="16"/>
  <c r="A30" i="16"/>
  <c r="C18" i="16"/>
  <c r="D18" i="16"/>
  <c r="F18" i="16"/>
  <c r="B30" i="16"/>
  <c r="G18" i="16"/>
  <c r="E17" i="16"/>
  <c r="F29" i="16"/>
  <c r="C29" i="16"/>
  <c r="D29" i="16"/>
  <c r="H29" i="16"/>
  <c r="H17" i="16"/>
  <c r="A19" i="16"/>
  <c r="B18" i="16"/>
  <c r="H20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H17" i="3"/>
  <c r="H15" i="3"/>
  <c r="H13" i="3"/>
  <c r="E25" i="3"/>
  <c r="B26" i="3"/>
  <c r="B28" i="3"/>
  <c r="B30" i="3"/>
  <c r="F31" i="30" l="1"/>
  <c r="C31" i="30"/>
  <c r="D31" i="30"/>
  <c r="H31" i="30"/>
  <c r="G32" i="3"/>
  <c r="E6" i="3" s="1"/>
  <c r="E30" i="30"/>
  <c r="A32" i="30"/>
  <c r="B31" i="30"/>
  <c r="G30" i="30"/>
  <c r="E18" i="16"/>
  <c r="E29" i="16"/>
  <c r="G29" i="16"/>
  <c r="H30" i="16"/>
  <c r="H18" i="16"/>
  <c r="D30" i="16"/>
  <c r="F30" i="16"/>
  <c r="C30" i="16"/>
  <c r="A31" i="16"/>
  <c r="C19" i="16"/>
  <c r="B31" i="16"/>
  <c r="D19" i="16"/>
  <c r="G19" i="16"/>
  <c r="G20" i="16" s="1"/>
  <c r="F19" i="16"/>
  <c r="F20" i="16" s="1"/>
  <c r="B9" i="16" s="1"/>
  <c r="B19" i="16"/>
  <c r="D1" i="16"/>
  <c r="E9" i="3"/>
  <c r="F9" i="3" s="1"/>
  <c r="C9" i="3"/>
  <c r="D9" i="3" s="1"/>
  <c r="D32" i="30" l="1"/>
  <c r="F32" i="30"/>
  <c r="C32" i="30"/>
  <c r="C33" i="30" s="1"/>
  <c r="A6" i="30" s="1"/>
  <c r="H32" i="30"/>
  <c r="G31" i="30"/>
  <c r="E31" i="30"/>
  <c r="B32" i="30"/>
  <c r="A9" i="16"/>
  <c r="G30" i="16"/>
  <c r="H19" i="16"/>
  <c r="C20" i="16"/>
  <c r="E19" i="16"/>
  <c r="D20" i="16"/>
  <c r="D31" i="16"/>
  <c r="D32" i="16" s="1"/>
  <c r="F31" i="16"/>
  <c r="C31" i="16"/>
  <c r="C32" i="16" s="1"/>
  <c r="A6" i="16" s="1"/>
  <c r="E30" i="16"/>
  <c r="H31" i="16"/>
  <c r="E32" i="30" l="1"/>
  <c r="D33" i="30"/>
  <c r="E33" i="30" s="1"/>
  <c r="C6" i="30" s="1"/>
  <c r="G32" i="30"/>
  <c r="F33" i="30"/>
  <c r="D9" i="16"/>
  <c r="C9" i="16"/>
  <c r="E20" i="16"/>
  <c r="E32" i="16"/>
  <c r="C6" i="16" s="1"/>
  <c r="G31" i="16"/>
  <c r="F32" i="16"/>
  <c r="G32" i="16" s="1"/>
  <c r="E6" i="16" s="1"/>
  <c r="E31" i="16"/>
  <c r="H20" i="16"/>
  <c r="H32" i="16"/>
  <c r="G33" i="30" l="1"/>
  <c r="E6" i="30" s="1"/>
  <c r="F9" i="16"/>
  <c r="E9" i="16"/>
</calcChain>
</file>

<file path=xl/sharedStrings.xml><?xml version="1.0" encoding="utf-8"?>
<sst xmlns="http://schemas.openxmlformats.org/spreadsheetml/2006/main" count="8319" uniqueCount="171">
  <si>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</si>
  <si>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</si>
  <si>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</si>
  <si>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</si>
  <si>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</si>
  <si>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</si>
  <si>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</si>
  <si>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</si>
  <si>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</si>
  <si>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</si>
  <si>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</si>
  <si>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</si>
  <si>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</si>
  <si>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</si>
  <si>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</si>
  <si>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</si>
  <si>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</si>
  <si>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</si>
  <si>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</si>
  <si>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</si>
  <si>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</si>
  <si>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</si>
  <si>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</si>
  <si>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</si>
  <si>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</si>
  <si>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</si>
  <si>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</si>
  <si>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</si>
  <si>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</si>
  <si>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</si>
  <si>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</si>
  <si>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</si>
  <si>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</si>
  <si>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</si>
  <si>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</si>
  <si>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</si>
  <si>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</si>
  <si>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</si>
  <si>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</si>
  <si>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</si>
  <si>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</si>
  <si>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</si>
  <si>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</si>
  <si>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</si>
  <si>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</si>
  <si>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</si>
  <si>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</si>
  <si>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</si>
  <si>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</si>
  <si>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</si>
  <si>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</si>
  <si>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</si>
  <si>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</si>
  <si>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</si>
  <si>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</si>
  <si>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</si>
  <si>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</si>
  <si>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</si>
  <si>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</si>
  <si>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</si>
  <si>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</si>
  <si>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</si>
  <si>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</si>
  <si>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</si>
  <si>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</si>
  <si>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</si>
  <si>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</si>
  <si>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</si>
  <si>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</si>
  <si>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</si>
  <si>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</si>
  <si>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</si>
  <si>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</si>
  <si>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</si>
  <si>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</si>
  <si>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</si>
  <si>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</si>
  <si>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</si>
  <si>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一、sum - 求和</t>
    <phoneticPr fontId="18" type="noConversion"/>
  </si>
  <si>
    <t>二、sumif -单条件求和</t>
    <phoneticPr fontId="18" type="noConversion"/>
  </si>
  <si>
    <t>三、sumifs - 多条件求和</t>
    <phoneticPr fontId="18" type="noConversion"/>
  </si>
  <si>
    <t>四、sum和subtotal的区别</t>
    <phoneticPr fontId="18" type="noConversion"/>
  </si>
  <si>
    <t>五、if函数</t>
    <phoneticPr fontId="18" type="noConversion"/>
  </si>
  <si>
    <t>1-8月GMV</t>
    <phoneticPr fontId="18" type="noConversion"/>
  </si>
  <si>
    <t>1月和8月GMV</t>
    <phoneticPr fontId="18" type="noConversion"/>
  </si>
  <si>
    <t>日同比</t>
    <phoneticPr fontId="18" type="noConversion"/>
  </si>
  <si>
    <t>日环比</t>
    <phoneticPr fontId="18" type="noConversion"/>
  </si>
  <si>
    <t>月环比</t>
    <phoneticPr fontId="18" type="noConversion"/>
  </si>
  <si>
    <t>sum函数</t>
    <phoneticPr fontId="18" type="noConversion"/>
  </si>
  <si>
    <t>subtotal函数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</si>
  <si>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</si>
  <si>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</si>
  <si>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</si>
  <si>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</si>
  <si>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</si>
  <si>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</si>
  <si>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</si>
  <si>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</si>
  <si>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月份</t>
    <phoneticPr fontId="18" type="noConversion"/>
  </si>
  <si>
    <t>cpc总费用</t>
    <phoneticPr fontId="18" type="noConversion"/>
  </si>
  <si>
    <t>判断是否大于月目标10万</t>
    <phoneticPr fontId="18" type="noConversion"/>
  </si>
  <si>
    <t>六、if嵌套</t>
    <phoneticPr fontId="18" type="noConversion"/>
  </si>
  <si>
    <t>大于月目标10万且花费少于5千的为达标</t>
    <phoneticPr fontId="18" type="noConversion"/>
  </si>
  <si>
    <t>门店ID</t>
    <phoneticPr fontId="18" type="noConversion"/>
  </si>
  <si>
    <t>门店名称</t>
    <phoneticPr fontId="18" type="noConversion"/>
  </si>
  <si>
    <t>七、vlookup函数和数据透视表聚合</t>
    <phoneticPr fontId="18" type="noConversion"/>
  </si>
  <si>
    <t>A</t>
    <phoneticPr fontId="18" type="noConversion"/>
  </si>
  <si>
    <t>B</t>
    <phoneticPr fontId="18" type="noConversion"/>
  </si>
  <si>
    <t>判断</t>
    <phoneticPr fontId="18" type="noConversion"/>
  </si>
  <si>
    <t>嵌套举例：</t>
    <phoneticPr fontId="18" type="noConversion"/>
  </si>
  <si>
    <t>类别一</t>
    <phoneticPr fontId="18" type="noConversion"/>
  </si>
  <si>
    <t>C</t>
    <phoneticPr fontId="18" type="noConversion"/>
  </si>
  <si>
    <t>D</t>
    <phoneticPr fontId="18" type="noConversion"/>
  </si>
  <si>
    <t>类别二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</si>
  <si>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</si>
  <si>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</si>
  <si>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</si>
  <si>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值</t>
    <phoneticPr fontId="18" type="noConversion"/>
  </si>
  <si>
    <t>聚合（分类汇总）举例</t>
    <phoneticPr fontId="18" type="noConversion"/>
  </si>
  <si>
    <t>bc</t>
    <phoneticPr fontId="18" type="noConversion"/>
  </si>
  <si>
    <t>bcc</t>
    <phoneticPr fontId="18" type="noConversion"/>
  </si>
  <si>
    <t>模糊查询</t>
    <phoneticPr fontId="18" type="noConversion"/>
  </si>
  <si>
    <t>全名</t>
    <phoneticPr fontId="18" type="noConversion"/>
  </si>
  <si>
    <t>ddd</t>
    <phoneticPr fontId="18" type="noConversion"/>
  </si>
  <si>
    <t>查找项</t>
    <phoneticPr fontId="18" type="noConversion"/>
  </si>
  <si>
    <t>返回值</t>
    <phoneticPr fontId="18" type="noConversion"/>
  </si>
  <si>
    <t>abcd</t>
    <phoneticPr fontId="18" type="noConversion"/>
  </si>
  <si>
    <t>abc</t>
    <phoneticPr fontId="18" type="noConversion"/>
  </si>
  <si>
    <t>查找b开头并且是三个字符所对应的数值</t>
    <phoneticPr fontId="18" type="noConversion"/>
  </si>
  <si>
    <t xml:space="preserve">a </t>
    <phoneticPr fontId="18" type="noConversion"/>
  </si>
  <si>
    <t>查找a对应的值</t>
    <phoneticPr fontId="18" type="noConversion"/>
  </si>
  <si>
    <t>品牌名称</t>
    <phoneticPr fontId="18" type="noConversion"/>
  </si>
  <si>
    <t>品牌ID</t>
    <phoneticPr fontId="18" type="noConversion"/>
  </si>
  <si>
    <t>八、index和match函数</t>
    <phoneticPr fontId="18" type="noConversion"/>
  </si>
  <si>
    <t>美团GMV</t>
    <phoneticPr fontId="18" type="noConversion"/>
  </si>
  <si>
    <t>行标签</t>
  </si>
  <si>
    <t>总计</t>
  </si>
  <si>
    <t>求和项:GMV</t>
  </si>
  <si>
    <t>acd</t>
    <phoneticPr fontId="18" type="noConversion"/>
  </si>
  <si>
    <t>cb</t>
    <phoneticPr fontId="18" type="noConversion"/>
  </si>
  <si>
    <t>A</t>
  </si>
  <si>
    <t>B</t>
  </si>
  <si>
    <t>C</t>
  </si>
  <si>
    <t>D</t>
  </si>
  <si>
    <t>求和项:值2</t>
  </si>
  <si>
    <t>a</t>
  </si>
  <si>
    <t>b</t>
  </si>
  <si>
    <t>c</t>
  </si>
  <si>
    <t>求和项:商家实收</t>
  </si>
  <si>
    <t>文本</t>
    <phoneticPr fontId="18" type="noConversion"/>
  </si>
  <si>
    <t>文本</t>
    <phoneticPr fontId="18" type="noConversion"/>
  </si>
  <si>
    <t>年</t>
    <phoneticPr fontId="18" type="noConversion"/>
  </si>
  <si>
    <t>月</t>
    <phoneticPr fontId="18" type="noConversion"/>
  </si>
  <si>
    <t>日</t>
    <phoneticPr fontId="18" type="noConversion"/>
  </si>
  <si>
    <t>日期组合</t>
    <phoneticPr fontId="18" type="noConversion"/>
  </si>
  <si>
    <t>上个月这一天的GMV</t>
    <phoneticPr fontId="18" type="noConversion"/>
  </si>
  <si>
    <t>每个月第一天</t>
    <phoneticPr fontId="18" type="noConversion"/>
  </si>
  <si>
    <t>错误的每个月最后一天</t>
    <phoneticPr fontId="18" type="noConversion"/>
  </si>
  <si>
    <t>正确的每个月最后一天</t>
    <phoneticPr fontId="18" type="noConversion"/>
  </si>
  <si>
    <t>蛙小辣·美蛙火锅杯(宝山店)</t>
    <phoneticPr fontId="18" type="noConversion"/>
  </si>
  <si>
    <t>bdd1</t>
    <phoneticPr fontId="18" type="noConversion"/>
  </si>
  <si>
    <t>蛙小辣火锅杯（总账号）</t>
    <phoneticPr fontId="18" type="noConversion"/>
  </si>
  <si>
    <t>全部</t>
  </si>
  <si>
    <t>cpc总费用</t>
    <phoneticPr fontId="18" type="noConversion"/>
  </si>
  <si>
    <t xml:space="preserve"> 进店转化率</t>
    <phoneticPr fontId="18" type="noConversion"/>
  </si>
  <si>
    <t>数据时间:</t>
    <phoneticPr fontId="18" type="noConversion"/>
  </si>
  <si>
    <t>cpc曝光量</t>
    <phoneticPr fontId="18" type="noConversion"/>
  </si>
  <si>
    <t>平台:</t>
    <phoneticPr fontId="18" type="noConversion"/>
  </si>
  <si>
    <t>合计</t>
    <phoneticPr fontId="18" type="noConversion"/>
  </si>
  <si>
    <t>平台i</t>
    <phoneticPr fontId="18" type="noConversion"/>
  </si>
  <si>
    <t>目标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</si>
</sst>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3" formatCode="_ * #,##0.00_ ;_ * \-#,##0.00_ ;_ * &quot;-&quot;??_ ;_ @_ "/>
    <numFmt numFmtId="176" formatCode="_ * #,##0_ ;_ * \-#,##0_ ;_ * &quot;-&quot;??_ ;_ @_ "/>
    <numFmt numFmtId="177" formatCode="0.00%;0.00%"/>
    <numFmt numFmtId="178" formatCode="[$-804]aaa;@"/>
    <numFmt numFmtId="179" formatCode="yyyymmdd"/>
    <numFmt numFmtId="180" formatCode="yyyy/mm/dd"/>
    <numFmt numFmtId="181" formatCode="yyyy/mm"/>
    <numFmt numFmtId="182" formatCode="0.00_);[Red]\(0.00\)"/>
    <numFmt numFmtId="183" formatCode="0_);[Red]\(0\)"/>
    <numFmt numFmtId="184" formatCode="yyyy\-mm\-dd;@"/>
    <numFmt numFmtId="185" formatCode="[$-804]aaaa;@"/>
    <numFmt numFmtId="186" formatCode="0_ "/>
    <numFmt numFmtId="187" formatCode="0.00_ "/>
  </numFmts>
  <fonts count="2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24"/>
      <color theme="1"/>
      <name val="微软雅黑"/>
      <family val="2"/>
      <charset val="134"/>
    </font>
    <font>
      <b/>
      <sz val="11"/>
      <color theme="5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0" fontId="23" fillId="33" borderId="10" xfId="10" applyFont="1" applyFill="1" applyBorder="1" applyAlignment="1">
      <alignment horizontal="center" vertical="center"/>
    </xf>
    <xf numFmtId="0" fontId="21" fillId="33" borderId="11" xfId="10" applyFont="1" applyFill="1" applyBorder="1" applyAlignment="1">
      <alignment horizontal="center" vertical="center"/>
    </xf>
    <xf numFmtId="176" fontId="22" fillId="33" borderId="0" xfId="42" applyNumberFormat="1" applyFont="1" applyFill="1" applyAlignment="1">
      <alignment horizontal="right" vertical="center"/>
    </xf>
    <xf numFmtId="10" fontId="22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76" fontId="19" fillId="33" borderId="15" xfId="42" applyNumberFormat="1" applyFont="1" applyFill="1" applyBorder="1">
      <alignment vertical="center"/>
    </xf>
    <xf numFmtId="177" fontId="22" fillId="33" borderId="0" xfId="43" applyNumberFormat="1" applyFont="1" applyFill="1" applyAlignment="1">
      <alignment horizontal="right" vertical="center"/>
    </xf>
    <xf numFmtId="10" fontId="22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21" fillId="33" borderId="16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24" fillId="34" borderId="19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4" borderId="20" xfId="0" applyFont="1" applyFill="1" applyBorder="1" applyAlignment="1">
      <alignment horizontal="center" vertical="center"/>
    </xf>
    <xf numFmtId="14" fontId="19" fillId="33" borderId="19" xfId="0" applyNumberFormat="1" applyFont="1" applyFill="1" applyBorder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78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24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42" applyFont="1" applyFill="1">
      <alignment vertical="center"/>
    </xf>
    <xf numFmtId="180" fontId="0" fillId="0" borderId="24" xfId="0" applyNumberFormat="1" applyBorder="1" applyAlignment="1">
      <alignment horizontal="center" vertical="center"/>
    </xf>
    <xf numFmtId="182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181" fontId="0" fillId="0" borderId="24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80" fontId="0" fillId="0" borderId="0" xfId="0" applyNumberFormat="1">
      <alignment vertical="center"/>
    </xf>
    <xf numFmtId="10" fontId="0" fillId="0" borderId="24" xfId="43" applyNumberFormat="1" applyFont="1" applyFill="1" applyBorder="1" applyAlignment="1">
      <alignment horizontal="center" vertical="center"/>
    </xf>
    <xf numFmtId="10" fontId="0" fillId="0" borderId="24" xfId="43" applyNumberFormat="1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43" fontId="19" fillId="33" borderId="0" xfId="0" applyNumberFormat="1" applyFont="1" applyFill="1">
      <alignment vertical="center"/>
    </xf>
    <xf numFmtId="183" fontId="19" fillId="33" borderId="0" xfId="0" applyNumberFormat="1" applyFont="1" applyFill="1" applyAlignment="1">
      <alignment horizontal="center" vertical="center"/>
    </xf>
    <xf numFmtId="183" fontId="19" fillId="33" borderId="22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0" fontId="0" fillId="0" borderId="24" xfId="0" applyNumberFormat="1" applyBorder="1" applyAlignment="1">
      <alignment horizontal="center" vertical="center"/>
    </xf>
    <xf numFmtId="9" fontId="0" fillId="0" borderId="24" xfId="43" applyFont="1" applyFill="1" applyBorder="1" applyAlignment="1">
      <alignment horizontal="center" vertical="center"/>
    </xf>
    <xf numFmtId="184" fontId="19" fillId="0" borderId="0" xfId="0" applyNumberFormat="1" applyFont="1">
      <alignment vertical="center"/>
    </xf>
    <xf numFmtId="185" fontId="19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10" fontId="19" fillId="0" borderId="0" xfId="0" applyNumberFormat="1" applyFont="1">
      <alignment vertical="center"/>
    </xf>
    <xf numFmtId="0" fontId="21" fillId="0" borderId="0" xfId="0" applyFont="1">
      <alignment vertical="center"/>
    </xf>
    <xf numFmtId="0" fontId="19" fillId="0" borderId="16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19" xfId="0" applyFont="1" applyBorder="1">
      <alignment vertical="center"/>
    </xf>
    <xf numFmtId="10" fontId="19" fillId="0" borderId="20" xfId="0" applyNumberFormat="1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3" xfId="0" applyFont="1" applyBorder="1">
      <alignment vertical="center"/>
    </xf>
    <xf numFmtId="1" fontId="19" fillId="0" borderId="0" xfId="0" applyNumberFormat="1" applyFont="1">
      <alignment vertical="center"/>
    </xf>
    <xf numFmtId="18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87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85" fontId="0" fillId="0" borderId="28" xfId="0" applyNumberFormat="1" applyBorder="1" applyAlignment="1">
      <alignment horizontal="center" vertical="center"/>
    </xf>
    <xf numFmtId="186" fontId="0" fillId="0" borderId="28" xfId="0" applyNumberFormat="1" applyBorder="1" applyAlignment="1">
      <alignment horizontal="center" vertical="center"/>
    </xf>
    <xf numFmtId="10" fontId="0" fillId="0" borderId="28" xfId="0" applyNumberFormat="1" applyBorder="1" applyAlignment="1">
      <alignment horizontal="center" vertical="center"/>
    </xf>
    <xf numFmtId="187" fontId="0" fillId="0" borderId="15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8" fillId="34" borderId="12" xfId="0" applyFont="1" applyFill="1" applyBorder="1" applyAlignment="1">
      <alignment horizontal="center" vertical="center"/>
    </xf>
    <xf numFmtId="0" fontId="28" fillId="34" borderId="0" xfId="0" applyFont="1" applyFill="1" applyAlignment="1">
      <alignment horizontal="center" vertical="center"/>
    </xf>
    <xf numFmtId="0" fontId="28" fillId="34" borderId="13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57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  <xf numFmtId="10" fontId="19" fillId="0" borderId="19" xfId="0" applyNumberFormat="1" applyFont="1" applyBorder="1" applyAlignment="1">
      <alignment horizontal="center" vertical="center"/>
    </xf>
    <xf numFmtId="10" fontId="19" fillId="0" borderId="20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14" fontId="27" fillId="0" borderId="13" xfId="0" applyNumberFormat="1" applyFont="1" applyBorder="1" applyAlignment="1">
      <alignment horizontal="center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b/>
        <i val="0"/>
        <u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u/>
        <color auto="1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18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[电商运营数据周报.xlsx]数据透视图表-完成版!数据透视表4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[电商运营数据周报.xlsx]数据透视图表-完成版!数据透视表4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 count="15">
        <s v="蛙小辣·美蛙火锅杯(宝山店)"/>
        <s v="蛙小辣火锅杯（合生汇店）"/>
        <s v="蛙小辣火锅杯(龙阳广场店)"/>
        <s v="蛙小辣火锅杯(五角场店)"/>
        <s v="蛙小辣·美蛙火锅杯（长风大悦城店）"/>
        <s v="蛙小辣火锅杯（宝山店）"/>
        <s v="蛙小辣火锅杯（五角场店）"/>
        <s v="蛙小辣火锅杯麻辣烫(五角场店)"/>
        <s v="蛙小辣·美蛙火锅杯(五角场店)"/>
        <s v="蛙小辣·美蛙火锅杯麻辣烫(宝山店)"/>
        <s v="蛙小辣·美蛙火锅杯麻辣烫(五角场店)"/>
        <s v="蛙小辣·美蛙火锅杯麻辣烫（五角场店）"/>
        <s v="拌客干拌麻辣烫(武宁路店)"/>
        <s v="拌客·干拌麻辣烫(武宁路店)"/>
        <s v="拌客干拌麻辣烫（武宁路店）"/>
      </sharedItems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674458796297" createdVersion="7" refreshedVersion="7" minRefreshableVersion="3" recordCount="8" xr:uid="{1FE6FBB3-CCE5-4ACE-9A3E-E427D01BD665}">
  <cacheSource type="worksheet">
    <worksheetSource ref="S95:U103" sheet="常用函数-完成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x v="0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x v="1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x v="2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x v="3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x v="0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x v="1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x v="2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x v="3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x v="0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x v="2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x v="3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x v="0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x v="1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x v="2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x v="3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x v="0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x v="3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x v="0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x v="3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x v="0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x v="0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x v="0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x v="0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x v="0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x v="0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x v="0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x v="0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x v="0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x v="0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x v="0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x v="0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x v="0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x v="0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x v="0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x v="0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x v="0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x v="0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x v="0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x v="0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x v="0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x v="0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x v="0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x v="0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x v="0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x v="4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x v="0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x v="4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x v="0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x v="4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x v="0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x v="4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x v="0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x v="0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x v="0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x v="0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x v="5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x v="0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x v="5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x v="0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x v="5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x v="0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x v="5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x v="6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x v="3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x v="0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x v="5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x v="6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x v="3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x v="0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x v="5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x v="3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x v="6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x v="0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x v="5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x v="0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x v="5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x v="0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x v="5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x v="0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x v="5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x v="0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x v="5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x v="0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x v="5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x v="0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x v="5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x v="0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x v="5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x v="0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x v="5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x v="6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x v="3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x v="0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x v="3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x v="6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x v="0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x v="6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x v="3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x v="0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x v="5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x v="6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x v="3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x v="0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x v="5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x v="6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x v="3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x v="0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x v="5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x v="6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x v="3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x v="0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x v="5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x v="3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x v="0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x v="5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x v="3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x v="0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x v="5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x v="7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x v="0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x v="5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x v="3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x v="5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x v="5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x v="0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x v="5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x v="0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x v="5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x v="3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x v="6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x v="0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x v="5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x v="3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x v="0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x v="5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x v="3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x v="0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x v="5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x v="3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x v="0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x v="5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x v="3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x v="0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x v="8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x v="5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x v="0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x v="8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x v="5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x v="0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x v="8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x v="5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x v="0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x v="8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x v="5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x v="8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x v="9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x v="5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x v="8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x v="9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x v="5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x v="8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x v="9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x v="5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x v="8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x v="9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x v="5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x v="8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x v="9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x v="5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x v="8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x v="9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x v="5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x v="9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x v="10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x v="5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x v="9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x v="10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x v="5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x v="9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x v="10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x v="5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x v="9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x v="10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x v="5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x v="6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x v="9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x v="10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x v="5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x v="6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x v="9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x v="10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x v="5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x v="6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x v="9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x v="11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x v="10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x v="5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x v="9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x v="10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x v="5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x v="9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x v="10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x v="5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x v="9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x v="5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x v="9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x v="10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x v="5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x v="9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x v="10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x v="5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x v="9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x v="10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x v="5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x v="9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x v="10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x v="5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x v="9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x v="10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x v="5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x v="9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x v="5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x v="9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x v="5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x v="9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x v="5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x v="9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x v="5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x v="9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x v="9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x v="5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x v="9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x v="5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x v="9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x v="5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x v="12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x v="9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x v="5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x v="12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x v="9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x v="5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x v="13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x v="9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x v="5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x v="13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x v="9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x v="5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x v="13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x v="9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x v="5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x v="13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x v="9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x v="5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x v="13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x v="9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x v="5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x v="13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x v="9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x v="5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x v="13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x v="9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x v="5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x v="13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x v="9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x v="5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x v="13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x v="9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x v="5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x v="13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x v="9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x v="5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x v="13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x v="9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x v="5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x v="13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x v="9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x v="5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x v="13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x v="9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x v="5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x v="13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x v="9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x v="5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x v="13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x v="9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x v="5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x v="13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x v="9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x v="5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x v="13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x v="9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x v="5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x v="13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x v="9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x v="5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x v="13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x v="9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x v="5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x v="13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x v="9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x v="5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x v="13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x v="9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x v="5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x v="13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x v="9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x v="5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x v="13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x v="9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x v="5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x v="13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x v="9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x v="5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x v="13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x v="9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x v="5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x v="13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x v="9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x v="5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x v="13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x v="9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x v="5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x v="13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x v="9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x v="5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x v="13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x v="9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x v="5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x v="13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x v="9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x v="13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x v="9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x v="13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x v="9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x v="5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x v="13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x v="9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x v="5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x v="13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x v="9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x v="5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x v="13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x v="9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x v="5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x v="13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x v="9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x v="5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x v="13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x v="9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x v="5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x v="13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x v="9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x v="5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x v="13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x v="9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x v="5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x v="13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x v="9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x v="5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x v="13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x v="9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x v="5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x v="13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x v="9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x v="5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x v="13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x v="9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x v="5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x v="13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x v="9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x v="5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x v="13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x v="9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x v="5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x v="13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x v="9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x v="5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x v="13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x v="9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x v="5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x v="13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x v="9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x v="5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x v="13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x v="9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x v="5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x v="13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x v="9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x v="5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x v="13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x v="9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x v="5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x v="13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x v="9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x v="5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x v="13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x v="9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x v="5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x v="13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x v="9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x v="5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x v="13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x v="9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x v="5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x v="9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x v="5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x v="13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x v="9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x v="5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x v="13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x v="14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x v="9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x v="5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x v="13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x v="14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x v="9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x v="5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x v="13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x v="14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x v="9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x v="5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x v="13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x v="14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x v="9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x v="5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x v="13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x v="14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x v="9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x v="5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x v="13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x v="14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x v="9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x v="5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x v="13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x v="14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x v="9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x v="5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x v="13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x v="14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x v="9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x v="5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x v="13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x v="14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x v="9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x v="13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x v="14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x v="9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x v="13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x v="14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x v="9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x v="13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x v="14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x v="9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x v="13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x v="14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x v="13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x v="14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x v="9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x v="13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x v="14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x v="9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x v="5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x v="13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x v="14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x v="9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x v="5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x v="13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x v="14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x v="9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x v="5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x v="13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x v="5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x v="13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x v="14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x v="5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x v="13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x v="14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x v="5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x v="13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x v="14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x v="9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x v="5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x v="13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x v="14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x v="9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x v="5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x v="13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x v="14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x v="9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x v="5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x v="13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x v="14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x v="9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x v="5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x v="13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x v="14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x v="9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x v="5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x v="13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x v="14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x v="9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x v="5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x v="13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x v="14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x v="9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x v="5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x v="9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x v="5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x v="9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x v="5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x v="9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x v="5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x v="9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x v="5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x v="9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x v="5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x v="9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x v="5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x v="9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x v="5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x v="9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x v="5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x v="9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x v="5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x v="9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x v="5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x v="9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x v="5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x v="9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x v="5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x v="9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x v="5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x v="9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x v="5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x v="9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x v="5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x v="9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x v="5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x v="9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x v="5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x v="9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x v="5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x v="9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x v="5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x v="9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x v="5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x v="9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x v="5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x v="9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x v="5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x v="5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x v="9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x v="5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x v="9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x v="5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x v="9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x v="5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x v="9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x v="5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x v="9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x v="5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2E8CC-4E00-4C96-80BC-7C1EF50B1679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722BD-6E1B-4400-ADF8-D6CE78BAF546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O109:P118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>
      <items count="16">
        <item x="13"/>
        <item x="12"/>
        <item x="14"/>
        <item x="0"/>
        <item x="8"/>
        <item x="4"/>
        <item x="9"/>
        <item x="10"/>
        <item x="11"/>
        <item x="5"/>
        <item x="1"/>
        <item x="2"/>
        <item x="3"/>
        <item x="6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>
      <items count="16">
        <item x="13"/>
        <item x="12"/>
        <item x="14"/>
        <item x="0"/>
        <item x="8"/>
        <item x="4"/>
        <item x="9"/>
        <item x="10"/>
        <item x="11"/>
        <item x="5"/>
        <item x="1"/>
        <item x="2"/>
        <item x="3"/>
        <item x="6"/>
        <item x="7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 codeName="Sheet1">
    <tabColor theme="9" tint="0.39997558519241921"/>
  </sheetPr>
  <dimension ref="A1:X562"/>
  <sheetViews>
    <sheetView workbookViewId="0">
      <selection activeCell="E27" sqref="E27"/>
    </sheetView>
  </sheetViews>
  <sheetFormatPr defaultRowHeight="14.25" x14ac:dyDescent="0.2"/>
  <cols>
    <col min="1" max="1" width="10.5" style="1" bestFit="1" customWidth="1"/>
    <col min="3" max="3" width="23.5" bestFit="1" customWidth="1"/>
    <col min="4" max="4" width="11.625" bestFit="1" customWidth="1"/>
    <col min="5" max="5" width="24.5" bestFit="1" customWidth="1"/>
    <col min="9" max="9" width="30.125" customWidth="1"/>
    <col min="10" max="10" width="8.875" customWidth="1"/>
    <col min="11" max="11" width="10.25" customWidth="1"/>
    <col min="12" max="14" width="12.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2">
      <c r="A1" s="1" t="s">
        <v>69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169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163</v>
      </c>
      <c r="U1" t="s">
        <v>166</v>
      </c>
      <c r="V1" t="s">
        <v>14</v>
      </c>
      <c r="W1" t="s">
        <v>7</v>
      </c>
      <c r="X1" t="s">
        <v>8</v>
      </c>
    </row>
    <row r="2" spans="1:24" x14ac:dyDescent="0.2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49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49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49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49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49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49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49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">
      <c r="A9" s="1">
        <v>43832</v>
      </c>
      <c r="B9">
        <v>4636</v>
      </c>
      <c r="C9" t="s">
        <v>161</v>
      </c>
      <c r="D9" t="s">
        <v>45</v>
      </c>
      <c r="E9" t="s">
        <v>21</v>
      </c>
      <c r="F9" s="4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">
      <c r="A13" s="1">
        <v>43834</v>
      </c>
      <c r="B13">
        <v>4636</v>
      </c>
      <c r="C13" t="s">
        <v>18</v>
      </c>
      <c r="D13">
        <v>2001104355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2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2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2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2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2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2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2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2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2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2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2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2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2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2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2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2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2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2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2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2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2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2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2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2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2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2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2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2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2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2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2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2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2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2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2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2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2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2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2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2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2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2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2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2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2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2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2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2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2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2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2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2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2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2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2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2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2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2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2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2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2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2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2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2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2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2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2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2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2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2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2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2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2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2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2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2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2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2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2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2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2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2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2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2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2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2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2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2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2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2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2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2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2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2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2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2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2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2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2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2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2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2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2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2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2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2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2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2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2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2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2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2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2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2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2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2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2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2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2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2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2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2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2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2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2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2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2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2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2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2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2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2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2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2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2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2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2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2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2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2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2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2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2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2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2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2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2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2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2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2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2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2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2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2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2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2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2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2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2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2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2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2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2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2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2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2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2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2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2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2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2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2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2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2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2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2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2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2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2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2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2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2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2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2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2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2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2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2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2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2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2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2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2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2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2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2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2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2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2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2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2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2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2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2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2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2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2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2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2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2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2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2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2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2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2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2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2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2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2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2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2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2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2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2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2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2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2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2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2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2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2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2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2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2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2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2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2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2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2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2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2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2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2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2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2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2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2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2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2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2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2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2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2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2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2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2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2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2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2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2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2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2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2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2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2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2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2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D98B-4F93-4580-87FD-028177DA27B4}">
  <sheetPr codeName="Sheet2">
    <tabColor theme="9" tint="0.39997558519241921"/>
  </sheetPr>
  <dimension ref="B1:U131"/>
  <sheetViews>
    <sheetView topLeftCell="A13" workbookViewId="0"/>
  </sheetViews>
  <sheetFormatPr defaultRowHeight="14.25" x14ac:dyDescent="0.2"/>
  <cols>
    <col min="2" max="2" width="13.375" customWidth="1"/>
    <col min="3" max="3" width="42" customWidth="1"/>
    <col min="4" max="4" width="33" customWidth="1"/>
    <col min="5" max="5" width="34.125" customWidth="1"/>
    <col min="6" max="7" width="21.375" bestFit="1" customWidth="1"/>
    <col min="8" max="8" width="14.25" customWidth="1"/>
    <col min="9" max="9" width="12.125" customWidth="1"/>
    <col min="10" max="10" width="19.5" bestFit="1" customWidth="1"/>
    <col min="11" max="11" width="16.75" customWidth="1"/>
    <col min="12" max="13" width="11.625" bestFit="1" customWidth="1"/>
    <col min="15" max="15" width="11.625" bestFit="1" customWidth="1"/>
    <col min="16" max="16" width="12.125" bestFit="1" customWidth="1"/>
    <col min="19" max="19" width="9.125" bestFit="1" customWidth="1"/>
    <col min="20" max="20" width="10.5" bestFit="1" customWidth="1"/>
    <col min="23" max="23" width="9.125" bestFit="1" customWidth="1"/>
    <col min="24" max="24" width="10.5" bestFit="1" customWidth="1"/>
  </cols>
  <sheetData>
    <row r="1" spans="2:13" x14ac:dyDescent="0.2">
      <c r="M1" s="37"/>
    </row>
    <row r="2" spans="2:13" x14ac:dyDescent="0.2">
      <c r="B2" t="s">
        <v>78</v>
      </c>
      <c r="M2" s="37"/>
    </row>
    <row r="3" spans="2:13" x14ac:dyDescent="0.2">
      <c r="M3" s="37"/>
    </row>
    <row r="4" spans="2:13" x14ac:dyDescent="0.2">
      <c r="B4" s="38"/>
      <c r="C4" s="39" t="s">
        <v>83</v>
      </c>
      <c r="D4" s="39" t="s">
        <v>84</v>
      </c>
      <c r="M4" s="37"/>
    </row>
    <row r="5" spans="2:13" x14ac:dyDescent="0.2">
      <c r="B5" s="39" t="s">
        <v>72</v>
      </c>
      <c r="C5" s="39">
        <f>SUM('拌客源数据1-8月'!J:J)</f>
        <v>1071473.2499999998</v>
      </c>
      <c r="D5" s="39">
        <f>SUM('拌客源数据1-8月'!J2:J25)+SUM('拌客源数据1-8月'!J496:J562)</f>
        <v>145618.29</v>
      </c>
      <c r="M5" s="37"/>
    </row>
    <row r="6" spans="2:13" x14ac:dyDescent="0.2">
      <c r="B6" s="40"/>
      <c r="C6" s="40"/>
      <c r="M6" s="37"/>
    </row>
    <row r="7" spans="2:13" x14ac:dyDescent="0.2">
      <c r="B7" s="40"/>
      <c r="C7" s="40"/>
      <c r="M7" s="37"/>
    </row>
    <row r="8" spans="2:13" x14ac:dyDescent="0.2">
      <c r="B8" s="40"/>
      <c r="C8" s="40"/>
      <c r="M8" s="37"/>
    </row>
    <row r="9" spans="2:13" x14ac:dyDescent="0.2">
      <c r="B9" s="40"/>
      <c r="C9" s="40"/>
      <c r="M9" s="37"/>
    </row>
    <row r="10" spans="2:13" x14ac:dyDescent="0.2">
      <c r="C10" s="41"/>
      <c r="M10" s="37"/>
    </row>
    <row r="11" spans="2:13" x14ac:dyDescent="0.2">
      <c r="C11" s="1"/>
      <c r="D11" s="1"/>
      <c r="M11" s="37"/>
    </row>
    <row r="12" spans="2:13" x14ac:dyDescent="0.2">
      <c r="B12" t="s">
        <v>79</v>
      </c>
      <c r="D12" s="50"/>
      <c r="M12" s="37"/>
    </row>
    <row r="13" spans="2:13" x14ac:dyDescent="0.2">
      <c r="M13" s="37"/>
    </row>
    <row r="14" spans="2:13" x14ac:dyDescent="0.2">
      <c r="B14" s="38"/>
      <c r="C14" s="39" t="s">
        <v>55</v>
      </c>
      <c r="D14" t="s">
        <v>150</v>
      </c>
      <c r="E14" s="63">
        <v>1</v>
      </c>
      <c r="F14" s="50"/>
      <c r="G14" s="50"/>
    </row>
    <row r="15" spans="2:13" x14ac:dyDescent="0.2">
      <c r="B15" s="42">
        <v>44013</v>
      </c>
      <c r="C15" s="39">
        <f>SUMIF('拌客源数据1-8月'!A:A,'常用函数-练习版'!B15,'拌客源数据1-8月'!J:J)</f>
        <v>6001.38</v>
      </c>
      <c r="D15" s="39">
        <f>SUMIF('拌客源数据1-8月'!B:B,'常用函数-练习版'!C15,'拌客源数据1-8月'!K:K)</f>
        <v>0</v>
      </c>
      <c r="E15" s="63">
        <v>2</v>
      </c>
      <c r="F15" s="50"/>
      <c r="G15" s="50"/>
    </row>
    <row r="16" spans="2:13" x14ac:dyDescent="0.2">
      <c r="B16" s="42">
        <v>44019</v>
      </c>
      <c r="C16" s="39">
        <f>SUMIF('拌客源数据1-8月'!A:A,'常用函数-练习版'!B16,'拌客源数据1-8月'!J:J)</f>
        <v>4764.71</v>
      </c>
      <c r="D16" s="40"/>
      <c r="E16" s="63">
        <v>3</v>
      </c>
      <c r="F16" s="50"/>
      <c r="G16" s="50"/>
    </row>
    <row r="17" spans="2:12" x14ac:dyDescent="0.2">
      <c r="B17" s="42">
        <v>44028</v>
      </c>
      <c r="C17" s="39">
        <f>SUMIF('拌客源数据1-8月'!A:A,'常用函数-练习版'!B17,'拌客源数据1-8月'!J:J)</f>
        <v>11158.91</v>
      </c>
      <c r="D17" s="40"/>
      <c r="E17" s="63">
        <v>4</v>
      </c>
      <c r="F17" s="50"/>
      <c r="G17" s="50"/>
    </row>
    <row r="18" spans="2:12" x14ac:dyDescent="0.2">
      <c r="B18" s="42">
        <v>44029</v>
      </c>
      <c r="C18" s="39">
        <f>SUMIF('拌客源数据1-8月'!A:A,'常用函数-练习版'!B18,'拌客源数据1-8月'!J:J)</f>
        <v>10788.41</v>
      </c>
      <c r="D18" s="40"/>
      <c r="E18" s="63">
        <v>5</v>
      </c>
      <c r="F18" s="50"/>
    </row>
    <row r="19" spans="2:12" x14ac:dyDescent="0.2">
      <c r="B19" s="42">
        <v>44051</v>
      </c>
      <c r="C19" s="39">
        <f>SUMIF('拌客源数据1-8月'!A:A,'常用函数-练习版'!B19,'拌客源数据1-8月'!J:J)</f>
        <v>1374.4099999999999</v>
      </c>
      <c r="D19" s="40"/>
      <c r="E19" s="63">
        <v>6</v>
      </c>
      <c r="F19" s="50"/>
    </row>
    <row r="20" spans="2:12" x14ac:dyDescent="0.2">
      <c r="B20" s="42">
        <v>44062</v>
      </c>
      <c r="C20" s="39">
        <f>SUMIF('拌客源数据1-8月'!A:A,'常用函数-练习版'!B20,'拌客源数据1-8月'!J:J)</f>
        <v>2588.69</v>
      </c>
      <c r="D20" s="40"/>
      <c r="E20" s="63">
        <v>7</v>
      </c>
      <c r="F20" s="50"/>
    </row>
    <row r="21" spans="2:12" x14ac:dyDescent="0.2">
      <c r="B21" s="42">
        <v>44064</v>
      </c>
      <c r="C21" s="39">
        <f>SUMIF('拌客源数据1-8月'!A:A,'常用函数-练习版'!B21,'拌客源数据1-8月'!J:J)</f>
        <v>2118.79</v>
      </c>
      <c r="D21" s="40"/>
      <c r="E21" s="63">
        <v>8</v>
      </c>
      <c r="F21" s="50"/>
    </row>
    <row r="22" spans="2:12" x14ac:dyDescent="0.2">
      <c r="B22" s="44"/>
      <c r="C22" s="40"/>
    </row>
    <row r="23" spans="2:12" x14ac:dyDescent="0.2">
      <c r="B23" s="44"/>
      <c r="C23" s="40"/>
    </row>
    <row r="24" spans="2:12" x14ac:dyDescent="0.2">
      <c r="B24" s="44"/>
      <c r="C24" s="40"/>
    </row>
    <row r="27" spans="2:12" x14ac:dyDescent="0.2">
      <c r="B27" t="s">
        <v>80</v>
      </c>
    </row>
    <row r="29" spans="2:12" x14ac:dyDescent="0.2">
      <c r="B29" s="38"/>
      <c r="C29" s="39" t="s">
        <v>134</v>
      </c>
      <c r="D29" s="39" t="s">
        <v>86</v>
      </c>
      <c r="E29" s="39" t="s">
        <v>85</v>
      </c>
      <c r="F29" s="40" t="s">
        <v>151</v>
      </c>
      <c r="G29" s="40" t="s">
        <v>152</v>
      </c>
      <c r="H29" s="40" t="s">
        <v>153</v>
      </c>
      <c r="I29" s="40" t="s">
        <v>154</v>
      </c>
      <c r="J29" s="40" t="s">
        <v>155</v>
      </c>
    </row>
    <row r="30" spans="2:12" x14ac:dyDescent="0.2">
      <c r="B30" s="42">
        <v>44043</v>
      </c>
      <c r="C30" s="39">
        <f>SUMIFS('拌客源数据1-8月'!J:J,'拌客源数据1-8月'!A:A,B30,'拌客源数据1-8月'!H:H,"美团")</f>
        <v>5773.69</v>
      </c>
      <c r="D30" s="64">
        <f>(SUMIFS('拌客源数据1-8月'!J:J,'拌客源数据1-8月'!A:A,B30,'拌客源数据1-8月'!H:H,"美团")-SUMIFS('拌客源数据1-8月'!J:J,'拌客源数据1-8月'!A:A,B30-1,'拌客源数据1-8月'!H:H,"美团"))/SUMIFS('拌客源数据1-8月'!J:J,'拌客源数据1-8月'!A:A,B30-1,'拌客源数据1-8月'!H:H,"美团")</f>
        <v>0.2645073544227281</v>
      </c>
      <c r="E30" s="65">
        <f>C30/J30-1</f>
        <v>4.7262764311500769</v>
      </c>
      <c r="F30">
        <f>YEAR(B30)</f>
        <v>2020</v>
      </c>
      <c r="G30">
        <f>MONTH(B30)</f>
        <v>7</v>
      </c>
      <c r="H30">
        <f>DAY(B30)</f>
        <v>31</v>
      </c>
      <c r="I30" s="1">
        <f>DATE(F30,G30,H30)</f>
        <v>44043</v>
      </c>
      <c r="J30">
        <f>SUMIFS('拌客源数据1-8月'!J:J,'拌客源数据1-8月'!A:A,DATE(F30,G30-1,H30),'拌客源数据1-8月'!H:H,"美团")</f>
        <v>1008.28</v>
      </c>
      <c r="K30" s="1"/>
      <c r="L30" s="50"/>
    </row>
    <row r="31" spans="2:12" x14ac:dyDescent="0.2">
      <c r="B31" s="42">
        <v>44014</v>
      </c>
      <c r="C31" s="39">
        <f>SUMIFS('拌客源数据1-8月'!J:J,'拌客源数据1-8月'!A:A,B31,'拌客源数据1-8月'!H:H,"美团")</f>
        <v>1023.39</v>
      </c>
      <c r="D31" s="64">
        <f>(SUMIFS('拌客源数据1-8月'!J:J,'拌客源数据1-8月'!A:A,B31,'拌客源数据1-8月'!H:H,"美团")-SUMIFS('拌客源数据1-8月'!J:J,'拌客源数据1-8月'!A:A,B31-1,'拌客源数据1-8月'!H:H,"美团"))/SUMIFS('拌客源数据1-8月'!J:J,'拌客源数据1-8月'!A:A,B31-1,'拌客源数据1-8月'!H:H,"美团")</f>
        <v>1.4985916610465361E-2</v>
      </c>
      <c r="E31" s="65">
        <f t="shared" ref="E31:E36" si="0">C31/J31-1</f>
        <v>0.21923585546302582</v>
      </c>
      <c r="F31">
        <f t="shared" ref="F31:F36" si="1">YEAR(B31)</f>
        <v>2020</v>
      </c>
      <c r="G31">
        <f t="shared" ref="G31:G36" si="2">MONTH(B31)</f>
        <v>7</v>
      </c>
      <c r="H31">
        <f t="shared" ref="H31:H36" si="3">DAY(B31)</f>
        <v>2</v>
      </c>
      <c r="I31" s="1">
        <f t="shared" ref="I31:I36" si="4">DATE(F31,G31,H31)</f>
        <v>44014</v>
      </c>
      <c r="J31">
        <f>SUMIFS('拌客源数据1-8月'!J:J,'拌客源数据1-8月'!A:A,DATE(F31,G31-1,H31),'拌客源数据1-8月'!H:H,"美团")</f>
        <v>839.37</v>
      </c>
    </row>
    <row r="32" spans="2:12" x14ac:dyDescent="0.2">
      <c r="B32" s="42">
        <v>44015</v>
      </c>
      <c r="C32" s="39">
        <f>SUMIFS('拌客源数据1-8月'!J:J,'拌客源数据1-8月'!A:A,B32,'拌客源数据1-8月'!H:H,"美团")</f>
        <v>999.86</v>
      </c>
      <c r="D32" s="64">
        <f>(SUMIFS('拌客源数据1-8月'!J:J,'拌客源数据1-8月'!A:A,B32,'拌客源数据1-8月'!H:H,"美团")-SUMIFS('拌客源数据1-8月'!J:J,'拌客源数据1-8月'!A:A,B32-1,'拌客源数据1-8月'!H:H,"美团"))/SUMIFS('拌客源数据1-8月'!J:J,'拌客源数据1-8月'!A:A,B32-1,'拌客源数据1-8月'!H:H,"美团")</f>
        <v>-2.2992212157632939E-2</v>
      </c>
      <c r="E32" s="65">
        <f t="shared" si="0"/>
        <v>-0.18069110187893822</v>
      </c>
      <c r="F32">
        <f t="shared" si="1"/>
        <v>2020</v>
      </c>
      <c r="G32">
        <f t="shared" si="2"/>
        <v>7</v>
      </c>
      <c r="H32">
        <f t="shared" si="3"/>
        <v>3</v>
      </c>
      <c r="I32" s="1">
        <f t="shared" si="4"/>
        <v>44015</v>
      </c>
      <c r="J32">
        <f>SUMIFS('拌客源数据1-8月'!J:J,'拌客源数据1-8月'!A:A,DATE(F32,G32-1,H32),'拌客源数据1-8月'!H:H,"美团")</f>
        <v>1220.3699999999999</v>
      </c>
    </row>
    <row r="33" spans="2:10" x14ac:dyDescent="0.2">
      <c r="B33" s="42">
        <v>44016</v>
      </c>
      <c r="C33" s="39">
        <f>SUMIFS('拌客源数据1-8月'!J:J,'拌客源数据1-8月'!A:A,B33,'拌客源数据1-8月'!H:H,"美团")</f>
        <v>1144.82</v>
      </c>
      <c r="D33" s="64">
        <f>(SUMIFS('拌客源数据1-8月'!J:J,'拌客源数据1-8月'!A:A,B33,'拌客源数据1-8月'!H:H,"美团")-SUMIFS('拌客源数据1-8月'!J:J,'拌客源数据1-8月'!A:A,B33-1,'拌客源数据1-8月'!H:H,"美团"))/SUMIFS('拌客源数据1-8月'!J:J,'拌客源数据1-8月'!A:A,B33-1,'拌客源数据1-8月'!H:H,"美团")</f>
        <v>0.14498029724161374</v>
      </c>
      <c r="E33" s="65">
        <f t="shared" si="0"/>
        <v>-0.22352973093957507</v>
      </c>
      <c r="F33">
        <f t="shared" si="1"/>
        <v>2020</v>
      </c>
      <c r="G33">
        <f t="shared" si="2"/>
        <v>7</v>
      </c>
      <c r="H33">
        <f t="shared" si="3"/>
        <v>4</v>
      </c>
      <c r="I33" s="1">
        <f t="shared" si="4"/>
        <v>44016</v>
      </c>
      <c r="J33">
        <f>SUMIFS('拌客源数据1-8月'!J:J,'拌客源数据1-8月'!A:A,DATE(F33,G33-1,H33),'拌客源数据1-8月'!H:H,"美团")</f>
        <v>1474.39</v>
      </c>
    </row>
    <row r="34" spans="2:10" x14ac:dyDescent="0.2">
      <c r="B34" s="42">
        <v>44017</v>
      </c>
      <c r="C34" s="39">
        <f>SUMIFS('拌客源数据1-8月'!J:J,'拌客源数据1-8月'!A:A,B34,'拌客源数据1-8月'!H:H,"美团")</f>
        <v>755.47</v>
      </c>
      <c r="D34" s="64">
        <f>(SUMIFS('拌客源数据1-8月'!J:J,'拌客源数据1-8月'!A:A,B34,'拌客源数据1-8月'!H:H,"美团")-SUMIFS('拌客源数据1-8月'!J:J,'拌客源数据1-8月'!A:A,B34-1,'拌客源数据1-8月'!H:H,"美团"))/SUMIFS('拌客源数据1-8月'!J:J,'拌客源数据1-8月'!A:A,B34-1,'拌客源数据1-8月'!H:H,"美团")</f>
        <v>-0.34009713317377399</v>
      </c>
      <c r="E34" s="65">
        <f t="shared" si="0"/>
        <v>-0.33924291986635635</v>
      </c>
      <c r="F34">
        <f t="shared" si="1"/>
        <v>2020</v>
      </c>
      <c r="G34">
        <f t="shared" si="2"/>
        <v>7</v>
      </c>
      <c r="H34">
        <f t="shared" si="3"/>
        <v>5</v>
      </c>
      <c r="I34" s="1">
        <f t="shared" si="4"/>
        <v>44017</v>
      </c>
      <c r="J34">
        <f>SUMIFS('拌客源数据1-8月'!J:J,'拌客源数据1-8月'!A:A,DATE(F34,G34-1,H34),'拌客源数据1-8月'!H:H,"美团")</f>
        <v>1143.3399999999999</v>
      </c>
    </row>
    <row r="35" spans="2:10" x14ac:dyDescent="0.2">
      <c r="B35" s="42">
        <v>44044</v>
      </c>
      <c r="C35" s="39">
        <f>SUMIFS('拌客源数据1-8月'!J:J,'拌客源数据1-8月'!A:A,B35,'拌客源数据1-8月'!H:H,"美团")</f>
        <v>3387.1000000000004</v>
      </c>
      <c r="D35" s="64">
        <f>(SUMIFS('拌客源数据1-8月'!J:J,'拌客源数据1-8月'!A:A,B35,'拌客源数据1-8月'!H:H,"美团")-SUMIFS('拌客源数据1-8月'!J:J,'拌客源数据1-8月'!A:A,B35-1,'拌客源数据1-8月'!H:H,"美团"))/SUMIFS('拌客源数据1-8月'!J:J,'拌客源数据1-8月'!A:A,B35-1,'拌客源数据1-8月'!H:H,"美团")</f>
        <v>-0.41335610328923089</v>
      </c>
      <c r="E35" s="65">
        <f t="shared" si="0"/>
        <v>2.3592851192129176</v>
      </c>
      <c r="F35">
        <f t="shared" si="1"/>
        <v>2020</v>
      </c>
      <c r="G35">
        <f t="shared" si="2"/>
        <v>8</v>
      </c>
      <c r="H35">
        <f t="shared" si="3"/>
        <v>1</v>
      </c>
      <c r="I35" s="1">
        <f t="shared" si="4"/>
        <v>44044</v>
      </c>
      <c r="J35">
        <f>SUMIFS('拌客源数据1-8月'!J:J,'拌客源数据1-8月'!A:A,DATE(F35,G35-1,H35),'拌客源数据1-8月'!H:H,"美团")</f>
        <v>1008.28</v>
      </c>
    </row>
    <row r="36" spans="2:10" x14ac:dyDescent="0.2">
      <c r="B36" s="42">
        <v>44048</v>
      </c>
      <c r="C36" s="39">
        <f>SUMIFS('拌客源数据1-8月'!J:J,'拌客源数据1-8月'!A:A,B36,'拌客源数据1-8月'!H:H,"美团")</f>
        <v>1817.37</v>
      </c>
      <c r="D36" s="64">
        <f>(SUMIFS('拌客源数据1-8月'!J:J,'拌客源数据1-8月'!A:A,B36,'拌客源数据1-8月'!H:H,"美团")-SUMIFS('拌客源数据1-8月'!J:J,'拌客源数据1-8月'!A:A,B36-1,'拌客源数据1-8月'!H:H,"美团"))/SUMIFS('拌客源数据1-8月'!J:J,'拌客源数据1-8月'!A:A,B36-1,'拌客源数据1-8月'!H:H,"美团")</f>
        <v>0.12391465677179957</v>
      </c>
      <c r="E36" s="65">
        <f t="shared" si="0"/>
        <v>1.4056150475862705</v>
      </c>
      <c r="F36">
        <f t="shared" si="1"/>
        <v>2020</v>
      </c>
      <c r="G36">
        <f t="shared" si="2"/>
        <v>8</v>
      </c>
      <c r="H36">
        <f t="shared" si="3"/>
        <v>5</v>
      </c>
      <c r="I36" s="1">
        <f t="shared" si="4"/>
        <v>44048</v>
      </c>
      <c r="J36">
        <f>SUMIFS('拌客源数据1-8月'!J:J,'拌客源数据1-8月'!A:A,DATE(F36,G36-1,H36),'拌客源数据1-8月'!H:H,"美团")</f>
        <v>755.47</v>
      </c>
    </row>
    <row r="37" spans="2:10" x14ac:dyDescent="0.2">
      <c r="F37" s="48"/>
    </row>
    <row r="38" spans="2:10" x14ac:dyDescent="0.2">
      <c r="B38" s="38"/>
      <c r="C38" s="39" t="s">
        <v>134</v>
      </c>
      <c r="D38" s="39" t="s">
        <v>87</v>
      </c>
      <c r="E38" s="40" t="s">
        <v>156</v>
      </c>
      <c r="F38" s="40" t="s">
        <v>157</v>
      </c>
      <c r="G38" s="40" t="s">
        <v>158</v>
      </c>
    </row>
    <row r="39" spans="2:10" x14ac:dyDescent="0.2">
      <c r="B39" s="45">
        <v>43831</v>
      </c>
      <c r="C39" s="39">
        <f>SUMIFS('拌客源数据1-8月'!J:J,'拌客源数据1-8月'!H:H,"美团",'拌客源数据1-8月'!A:A,"&gt;="&amp;DATE(YEAR(B39),MONTH(B39),1),'拌客源数据1-8月'!A:A,"&lt;="&amp;DATE(YEAR(B39),MONTH(B39)+1,1)-1)</f>
        <v>6787.9800000000005</v>
      </c>
      <c r="D39" s="52" t="e">
        <f>C39/SUMIFS('拌客源数据1-8月'!J:J,'拌客源数据1-8月'!H:H,"美团",'拌客源数据1-8月'!A:A,"&gt;="&amp;DATE(YEAR(B39),MONTH(B39)-1,1),'拌客源数据1-8月'!A:A,"&lt;="&amp;DATE(YEAR(B39),MONTH(B39),1)-1)-1</f>
        <v>#DIV/0!</v>
      </c>
      <c r="E39" s="1">
        <f>EOMONTH(B39-1,0)+1</f>
        <v>43831</v>
      </c>
      <c r="G39" s="1">
        <f>EOMONTH(B39,0)</f>
        <v>43861</v>
      </c>
    </row>
    <row r="40" spans="2:10" x14ac:dyDescent="0.2">
      <c r="B40" s="45">
        <v>43862</v>
      </c>
      <c r="C40" s="39">
        <f>SUMIFS('拌客源数据1-8月'!J:J,'拌客源数据1-8月'!H:H,"美团",'拌客源数据1-8月'!A:A,"&gt;="&amp;DATE(YEAR(B40),MONTH(B40),1),'拌客源数据1-8月'!A:A,"&lt;="&amp;DATE(YEAR(B40),MONTH(B40)+1,1)-1)</f>
        <v>2678.62</v>
      </c>
      <c r="D40" s="52">
        <f>C40/SUMIFS('拌客源数据1-8月'!J:J,'拌客源数据1-8月'!H:H,"美团",'拌客源数据1-8月'!A:A,"&gt;="&amp;DATE(YEAR(B40),MONTH(B40)-1,1),'拌客源数据1-8月'!A:A,"&lt;="&amp;DATE(YEAR(B40),MONTH(B40),1)-1)-1</f>
        <v>-0.60538775895037999</v>
      </c>
      <c r="E40" s="1">
        <f t="shared" ref="E40:E46" si="5">EOMONTH(B40-1,0)+1</f>
        <v>43862</v>
      </c>
      <c r="G40" s="1">
        <f t="shared" ref="G40:G46" si="6">EOMONTH(B40,0)</f>
        <v>43890</v>
      </c>
    </row>
    <row r="41" spans="2:10" x14ac:dyDescent="0.2">
      <c r="B41" s="45">
        <v>43891</v>
      </c>
      <c r="C41" s="39">
        <f>SUMIFS('拌客源数据1-8月'!J:J,'拌客源数据1-8月'!H:H,"美团",'拌客源数据1-8月'!A:A,"&gt;="&amp;DATE(YEAR(B41),MONTH(B41),1),'拌客源数据1-8月'!A:A,"&lt;="&amp;DATE(YEAR(B41),MONTH(B41)+1,1)-1)</f>
        <v>24829.310000000009</v>
      </c>
      <c r="D41" s="52">
        <f>C41/SUMIFS('拌客源数据1-8月'!J:J,'拌客源数据1-8月'!H:H,"美团",'拌客源数据1-8月'!A:A,"&gt;="&amp;DATE(YEAR(B41),MONTH(B41)-1,1),'拌客源数据1-8月'!A:A,"&lt;="&amp;DATE(YEAR(B41),MONTH(B41),1)-1)-1</f>
        <v>8.2694409808035516</v>
      </c>
      <c r="E41" s="1">
        <f t="shared" si="5"/>
        <v>43891</v>
      </c>
      <c r="G41" s="1">
        <f t="shared" si="6"/>
        <v>43921</v>
      </c>
    </row>
    <row r="42" spans="2:10" x14ac:dyDescent="0.2">
      <c r="B42" s="45">
        <v>43922</v>
      </c>
      <c r="C42" s="39">
        <f>SUMIFS('拌客源数据1-8月'!J:J,'拌客源数据1-8月'!H:H,"美团",'拌客源数据1-8月'!A:A,"&gt;="&amp;DATE(YEAR(B42),MONTH(B42),1),'拌客源数据1-8月'!A:A,"&lt;="&amp;DATE(YEAR(B42),MONTH(B42)+1,1)-1)</f>
        <v>38698.99</v>
      </c>
      <c r="D42" s="52">
        <f>C42/SUMIFS('拌客源数据1-8月'!J:J,'拌客源数据1-8月'!H:H,"美团",'拌客源数据1-8月'!A:A,"&gt;="&amp;DATE(YEAR(B42),MONTH(B42)-1,1),'拌客源数据1-8月'!A:A,"&lt;="&amp;DATE(YEAR(B42),MONTH(B42),1)-1)-1</f>
        <v>0.55860110490384085</v>
      </c>
      <c r="E42" s="1">
        <f t="shared" si="5"/>
        <v>43922</v>
      </c>
      <c r="G42" s="1">
        <f t="shared" si="6"/>
        <v>43951</v>
      </c>
    </row>
    <row r="43" spans="2:10" x14ac:dyDescent="0.2">
      <c r="B43" s="45">
        <v>43952</v>
      </c>
      <c r="C43" s="39">
        <f>SUMIFS('拌客源数据1-8月'!J:J,'拌客源数据1-8月'!H:H,"美团",'拌客源数据1-8月'!A:A,"&gt;="&amp;DATE(YEAR(B43),MONTH(B43),1),'拌客源数据1-8月'!A:A,"&lt;="&amp;DATE(YEAR(B43),MONTH(B43)+1,1)-1)</f>
        <v>30397.779999999995</v>
      </c>
      <c r="D43" s="52">
        <f>C43/SUMIFS('拌客源数据1-8月'!J:J,'拌客源数据1-8月'!H:H,"美团",'拌客源数据1-8月'!A:A,"&gt;="&amp;DATE(YEAR(B43),MONTH(B43)-1,1),'拌客源数据1-8月'!A:A,"&lt;="&amp;DATE(YEAR(B43),MONTH(B43),1)-1)-1</f>
        <v>-0.21450714863617892</v>
      </c>
      <c r="E43" s="1">
        <f t="shared" si="5"/>
        <v>43952</v>
      </c>
      <c r="G43" s="1">
        <f t="shared" si="6"/>
        <v>43982</v>
      </c>
    </row>
    <row r="44" spans="2:10" x14ac:dyDescent="0.2">
      <c r="B44" s="45">
        <v>43983</v>
      </c>
      <c r="C44" s="39">
        <f>SUMIFS('拌客源数据1-8月'!J:J,'拌客源数据1-8月'!H:H,"美团",'拌客源数据1-8月'!A:A,"&gt;="&amp;DATE(YEAR(B44),MONTH(B44),1),'拌客源数据1-8月'!A:A,"&lt;="&amp;DATE(YEAR(B44),MONTH(B44)+1,1)-1)</f>
        <v>26037.540000000005</v>
      </c>
      <c r="D44" s="52">
        <f>C44/SUMIFS('拌客源数据1-8月'!J:J,'拌客源数据1-8月'!H:H,"美团",'拌客源数据1-8月'!A:A,"&gt;="&amp;DATE(YEAR(B44),MONTH(B44)-1,1),'拌客源数据1-8月'!A:A,"&lt;="&amp;DATE(YEAR(B44),MONTH(B44),1)-1)-1</f>
        <v>-0.14343942222096451</v>
      </c>
      <c r="E44" s="1">
        <f t="shared" si="5"/>
        <v>43983</v>
      </c>
      <c r="G44" s="1">
        <f t="shared" si="6"/>
        <v>44012</v>
      </c>
    </row>
    <row r="45" spans="2:10" x14ac:dyDescent="0.2">
      <c r="B45" s="45">
        <v>44013</v>
      </c>
      <c r="C45" s="39">
        <f>SUMIFS('拌客源数据1-8月'!J:J,'拌客源数据1-8月'!H:H,"美团",'拌客源数据1-8月'!A:A,"&gt;="&amp;DATE(YEAR(B45),MONTH(B45),1),'拌客源数据1-8月'!A:A,"&lt;="&amp;DATE(YEAR(B45),MONTH(B45)+1,1)-1)</f>
        <v>133045.43</v>
      </c>
      <c r="D45" s="52">
        <f>C45/SUMIFS('拌客源数据1-8月'!J:J,'拌客源数据1-8月'!H:H,"美团",'拌客源数据1-8月'!A:A,"&gt;="&amp;DATE(YEAR(B45),MONTH(B45)-1,1),'拌客源数据1-8月'!A:A,"&lt;="&amp;DATE(YEAR(B45),MONTH(B45),1)-1)-1</f>
        <v>4.1097542240933658</v>
      </c>
      <c r="E45" s="1">
        <f t="shared" si="5"/>
        <v>44013</v>
      </c>
      <c r="G45" s="1">
        <f t="shared" si="6"/>
        <v>44043</v>
      </c>
    </row>
    <row r="46" spans="2:10" x14ac:dyDescent="0.2">
      <c r="B46" s="45">
        <v>44044</v>
      </c>
      <c r="C46" s="39">
        <f>SUMIFS('拌客源数据1-8月'!J:J,'拌客源数据1-8月'!H:H,"美团",'拌客源数据1-8月'!A:A,"&gt;="&amp;DATE(YEAR(B46),MONTH(B46),1),'拌客源数据1-8月'!A:A,"&lt;="&amp;DATE(YEAR(B46),MONTH(B46)+1,1)-1)</f>
        <v>42659.520000000004</v>
      </c>
      <c r="D46" s="52">
        <f>C46/SUMIFS('拌客源数据1-8月'!J:J,'拌客源数据1-8月'!H:H,"美团",'拌客源数据1-8月'!A:A,"&gt;="&amp;DATE(YEAR(B46),MONTH(B46)-1,1),'拌客源数据1-8月'!A:A,"&lt;="&amp;DATE(YEAR(B46),MONTH(B46),1)-1)-1</f>
        <v>-0.67936125276907289</v>
      </c>
      <c r="E46" s="1">
        <f t="shared" si="5"/>
        <v>44044</v>
      </c>
      <c r="G46" s="1">
        <f t="shared" si="6"/>
        <v>44074</v>
      </c>
    </row>
    <row r="47" spans="2:10" x14ac:dyDescent="0.2">
      <c r="B47" s="46"/>
      <c r="C47" s="62"/>
    </row>
    <row r="48" spans="2:10" x14ac:dyDescent="0.2">
      <c r="B48" s="46"/>
    </row>
    <row r="49" spans="2:5" x14ac:dyDescent="0.2">
      <c r="B49" s="46"/>
    </row>
    <row r="52" spans="2:5" x14ac:dyDescent="0.2">
      <c r="B52" t="s">
        <v>81</v>
      </c>
    </row>
    <row r="54" spans="2:5" x14ac:dyDescent="0.2">
      <c r="B54" s="38"/>
      <c r="C54" s="39" t="s">
        <v>88</v>
      </c>
      <c r="D54" s="39" t="s">
        <v>89</v>
      </c>
    </row>
    <row r="55" spans="2:5" x14ac:dyDescent="0.2">
      <c r="B55" s="39" t="s">
        <v>55</v>
      </c>
      <c r="C55" s="38"/>
      <c r="D55" s="38"/>
    </row>
    <row r="56" spans="2:5" x14ac:dyDescent="0.2">
      <c r="B56" s="40"/>
    </row>
    <row r="57" spans="2:5" x14ac:dyDescent="0.2">
      <c r="B57" s="40"/>
    </row>
    <row r="58" spans="2:5" x14ac:dyDescent="0.2">
      <c r="B58" s="40"/>
    </row>
    <row r="61" spans="2:5" x14ac:dyDescent="0.2">
      <c r="B61" t="s">
        <v>82</v>
      </c>
    </row>
    <row r="63" spans="2:5" x14ac:dyDescent="0.2">
      <c r="B63" s="39" t="s">
        <v>98</v>
      </c>
      <c r="C63" s="39" t="s">
        <v>55</v>
      </c>
      <c r="D63" s="39" t="s">
        <v>100</v>
      </c>
      <c r="E63" s="40"/>
    </row>
    <row r="64" spans="2:5" x14ac:dyDescent="0.2">
      <c r="B64" s="39" t="s">
        <v>90</v>
      </c>
      <c r="C64" s="39">
        <v>64233.37</v>
      </c>
      <c r="D64" s="39" t="str">
        <f>IF(C64&gt;100000,"达标","未达标")</f>
        <v>未达标</v>
      </c>
      <c r="E64" s="40"/>
    </row>
    <row r="65" spans="2:11" x14ac:dyDescent="0.2">
      <c r="B65" s="39" t="s">
        <v>91</v>
      </c>
      <c r="C65" s="39">
        <v>32755.710000000006</v>
      </c>
      <c r="D65" s="39" t="str">
        <f t="shared" ref="D65:D70" si="7">IF(C65&gt;100000,"达标","未达标")</f>
        <v>未达标</v>
      </c>
      <c r="E65" s="40"/>
    </row>
    <row r="66" spans="2:11" x14ac:dyDescent="0.2">
      <c r="B66" s="39" t="s">
        <v>92</v>
      </c>
      <c r="C66" s="39">
        <v>78895.69</v>
      </c>
      <c r="D66" s="39" t="str">
        <f t="shared" si="7"/>
        <v>未达标</v>
      </c>
      <c r="E66" s="40"/>
    </row>
    <row r="67" spans="2:11" x14ac:dyDescent="0.2">
      <c r="B67" s="39" t="s">
        <v>93</v>
      </c>
      <c r="C67" s="39">
        <v>108307.06999999999</v>
      </c>
      <c r="D67" s="39" t="str">
        <f t="shared" si="7"/>
        <v>达标</v>
      </c>
      <c r="E67" s="40"/>
    </row>
    <row r="68" spans="2:11" x14ac:dyDescent="0.2">
      <c r="B68" s="39" t="s">
        <v>94</v>
      </c>
      <c r="C68" s="39">
        <v>194276.97</v>
      </c>
      <c r="D68" s="39" t="str">
        <f t="shared" si="7"/>
        <v>达标</v>
      </c>
      <c r="E68" s="40"/>
    </row>
    <row r="69" spans="2:11" x14ac:dyDescent="0.2">
      <c r="B69" s="39" t="s">
        <v>95</v>
      </c>
      <c r="C69" s="39">
        <v>255727.79000000007</v>
      </c>
      <c r="D69" s="39" t="str">
        <f t="shared" si="7"/>
        <v>达标</v>
      </c>
      <c r="E69" s="40"/>
    </row>
    <row r="70" spans="2:11" x14ac:dyDescent="0.2">
      <c r="B70" s="39" t="s">
        <v>96</v>
      </c>
      <c r="C70" s="39">
        <v>255891.73</v>
      </c>
      <c r="D70" s="39" t="str">
        <f t="shared" si="7"/>
        <v>达标</v>
      </c>
      <c r="E70" s="40"/>
    </row>
    <row r="71" spans="2:11" x14ac:dyDescent="0.2">
      <c r="B71" s="39" t="s">
        <v>97</v>
      </c>
      <c r="C71" s="39">
        <v>81384.920000000013</v>
      </c>
      <c r="D71" s="39" t="str">
        <f>IF(C71&gt;100000,"达标","未达标")</f>
        <v>未达标</v>
      </c>
      <c r="E71" s="40"/>
    </row>
    <row r="72" spans="2:11" x14ac:dyDescent="0.2">
      <c r="B72" s="40"/>
      <c r="C72" s="40"/>
      <c r="D72" s="40"/>
      <c r="E72" s="40"/>
    </row>
    <row r="73" spans="2:11" x14ac:dyDescent="0.2">
      <c r="B73" s="40"/>
      <c r="C73" s="40"/>
      <c r="D73" s="40"/>
      <c r="E73" s="40"/>
    </row>
    <row r="74" spans="2:11" x14ac:dyDescent="0.2">
      <c r="B74" s="40"/>
      <c r="C74" s="40"/>
      <c r="D74" s="40"/>
      <c r="E74" s="40"/>
    </row>
    <row r="77" spans="2:11" x14ac:dyDescent="0.2">
      <c r="B77" t="s">
        <v>101</v>
      </c>
    </row>
    <row r="78" spans="2:11" x14ac:dyDescent="0.2">
      <c r="I78" t="s">
        <v>109</v>
      </c>
    </row>
    <row r="79" spans="2:11" x14ac:dyDescent="0.2">
      <c r="B79" s="39" t="s">
        <v>98</v>
      </c>
      <c r="C79" s="39" t="s">
        <v>55</v>
      </c>
      <c r="D79" s="39" t="s">
        <v>99</v>
      </c>
      <c r="E79" s="38" t="s">
        <v>102</v>
      </c>
      <c r="I79" s="39" t="s">
        <v>106</v>
      </c>
      <c r="J79" s="39" t="s">
        <v>107</v>
      </c>
      <c r="K79" s="39" t="s">
        <v>108</v>
      </c>
    </row>
    <row r="80" spans="2:11" x14ac:dyDescent="0.2">
      <c r="B80" s="39" t="s">
        <v>90</v>
      </c>
      <c r="C80" s="39">
        <v>64233.37</v>
      </c>
      <c r="D80" s="39">
        <v>3344.24</v>
      </c>
      <c r="E80" s="39" t="str">
        <f>IF(C80&gt;100000,IF(D80&lt;5000,"全达标","GMV达标/CPC不达标"),"GMV不达标")</f>
        <v>GMV不达标</v>
      </c>
      <c r="F80" t="str">
        <f>IF(AND(C80&gt;100000,D80&lt;5000),"达标","不达标")</f>
        <v>不达标</v>
      </c>
      <c r="I80" s="39">
        <v>0</v>
      </c>
      <c r="J80" s="39">
        <v>0</v>
      </c>
      <c r="K80" s="39"/>
    </row>
    <row r="81" spans="2:21" x14ac:dyDescent="0.2">
      <c r="B81" s="39" t="s">
        <v>91</v>
      </c>
      <c r="C81" s="39">
        <v>32755.710000000006</v>
      </c>
      <c r="D81" s="39">
        <v>902.87</v>
      </c>
      <c r="E81" s="39" t="str">
        <f>IF(C81&gt;100000,IF(D81&lt;5000,"全达标","GMV达标/CPC不达标"),"GMV不达标")</f>
        <v>GMV不达标</v>
      </c>
      <c r="F81" t="str">
        <f t="shared" ref="F81:F87" si="8">IF(AND(C81&gt;100000,D81&lt;5000),"达标","不达标")</f>
        <v>不达标</v>
      </c>
      <c r="I81" s="39">
        <v>1</v>
      </c>
      <c r="J81" s="39">
        <v>0</v>
      </c>
      <c r="K81" s="39"/>
    </row>
    <row r="82" spans="2:21" x14ac:dyDescent="0.2">
      <c r="B82" s="39" t="s">
        <v>92</v>
      </c>
      <c r="C82" s="39">
        <v>78895.689999999988</v>
      </c>
      <c r="D82" s="39">
        <v>2645.3200000000006</v>
      </c>
      <c r="E82" s="39" t="str">
        <f t="shared" ref="E82:E87" si="9">IF(C82&gt;100000,IF(D82&lt;5000,"全达标","GMV达标/CPC不达标"),"GMV不达标")</f>
        <v>GMV不达标</v>
      </c>
      <c r="F82" t="str">
        <f t="shared" si="8"/>
        <v>不达标</v>
      </c>
      <c r="I82" s="39">
        <v>1</v>
      </c>
      <c r="J82" s="39">
        <v>1</v>
      </c>
      <c r="K82" s="39"/>
    </row>
    <row r="83" spans="2:21" x14ac:dyDescent="0.2">
      <c r="B83" s="39" t="s">
        <v>93</v>
      </c>
      <c r="C83" s="39">
        <v>108307.07</v>
      </c>
      <c r="D83" s="39">
        <v>4513.12</v>
      </c>
      <c r="E83" s="39" t="str">
        <f t="shared" si="9"/>
        <v>全达标</v>
      </c>
      <c r="F83" t="str">
        <f t="shared" si="8"/>
        <v>达标</v>
      </c>
      <c r="I83" s="39">
        <v>0</v>
      </c>
      <c r="J83" s="39">
        <v>1</v>
      </c>
      <c r="K83" s="39"/>
    </row>
    <row r="84" spans="2:21" x14ac:dyDescent="0.2">
      <c r="B84" s="39" t="s">
        <v>94</v>
      </c>
      <c r="C84" s="39">
        <v>194276.97</v>
      </c>
      <c r="D84" s="39">
        <v>11804.4</v>
      </c>
      <c r="E84" s="39" t="str">
        <f t="shared" si="9"/>
        <v>GMV达标/CPC不达标</v>
      </c>
      <c r="F84" t="str">
        <f t="shared" si="8"/>
        <v>不达标</v>
      </c>
    </row>
    <row r="85" spans="2:21" x14ac:dyDescent="0.2">
      <c r="B85" s="39" t="s">
        <v>95</v>
      </c>
      <c r="C85" s="39">
        <v>255727.79000000007</v>
      </c>
      <c r="D85" s="39">
        <v>8302.5300000000007</v>
      </c>
      <c r="E85" s="39" t="str">
        <f t="shared" si="9"/>
        <v>GMV达标/CPC不达标</v>
      </c>
      <c r="F85" t="str">
        <f t="shared" si="8"/>
        <v>不达标</v>
      </c>
    </row>
    <row r="86" spans="2:21" x14ac:dyDescent="0.2">
      <c r="B86" s="39" t="s">
        <v>96</v>
      </c>
      <c r="C86" s="39">
        <v>255891.73</v>
      </c>
      <c r="D86" s="39">
        <v>13616.330000000004</v>
      </c>
      <c r="E86" s="39" t="str">
        <f t="shared" si="9"/>
        <v>GMV达标/CPC不达标</v>
      </c>
      <c r="F86" t="str">
        <f t="shared" si="8"/>
        <v>不达标</v>
      </c>
    </row>
    <row r="87" spans="2:21" x14ac:dyDescent="0.2">
      <c r="B87" s="39" t="s">
        <v>97</v>
      </c>
      <c r="C87" s="39">
        <v>81384.920000000013</v>
      </c>
      <c r="D87" s="39">
        <v>3680.309999999999</v>
      </c>
      <c r="E87" s="39" t="str">
        <f t="shared" si="9"/>
        <v>GMV不达标</v>
      </c>
      <c r="F87" t="str">
        <f t="shared" si="8"/>
        <v>不达标</v>
      </c>
    </row>
    <row r="88" spans="2:21" x14ac:dyDescent="0.2">
      <c r="B88" s="40"/>
      <c r="C88" s="40"/>
      <c r="D88" s="40"/>
    </row>
    <row r="89" spans="2:21" x14ac:dyDescent="0.2">
      <c r="B89" s="40"/>
      <c r="C89" s="40"/>
      <c r="D89" s="40"/>
    </row>
    <row r="90" spans="2:21" x14ac:dyDescent="0.2">
      <c r="B90" s="40"/>
      <c r="C90" s="40"/>
      <c r="D90" s="40"/>
    </row>
    <row r="93" spans="2:21" x14ac:dyDescent="0.2">
      <c r="B93" t="s">
        <v>105</v>
      </c>
    </row>
    <row r="94" spans="2:21" x14ac:dyDescent="0.2">
      <c r="F94" t="s">
        <v>121</v>
      </c>
      <c r="I94" t="s">
        <v>130</v>
      </c>
      <c r="S94" t="s">
        <v>118</v>
      </c>
    </row>
    <row r="95" spans="2:21" x14ac:dyDescent="0.2">
      <c r="B95" s="39" t="s">
        <v>103</v>
      </c>
      <c r="C95" s="39" t="s">
        <v>104</v>
      </c>
      <c r="D95" s="40"/>
      <c r="E95" s="40"/>
      <c r="F95" s="39" t="s">
        <v>122</v>
      </c>
      <c r="G95" s="39" t="s">
        <v>117</v>
      </c>
      <c r="I95" s="39" t="s">
        <v>124</v>
      </c>
      <c r="J95" s="39" t="s">
        <v>125</v>
      </c>
      <c r="O95" s="39" t="s">
        <v>103</v>
      </c>
      <c r="P95" s="39" t="s">
        <v>55</v>
      </c>
      <c r="Q95" s="40"/>
      <c r="R95" s="40"/>
      <c r="S95" s="39" t="s">
        <v>110</v>
      </c>
      <c r="T95" s="39" t="s">
        <v>113</v>
      </c>
      <c r="U95" s="39" t="s">
        <v>117</v>
      </c>
    </row>
    <row r="96" spans="2:21" x14ac:dyDescent="0.2">
      <c r="B96" s="47" t="s">
        <v>46</v>
      </c>
      <c r="C96" s="39" t="str">
        <f>VLOOKUP(B96,'拌客源数据1-8月'!D:E,2,0)</f>
        <v>宝山店</v>
      </c>
      <c r="D96" s="40"/>
      <c r="E96" s="40"/>
      <c r="F96" s="39" t="s">
        <v>129</v>
      </c>
      <c r="G96" s="39">
        <v>1</v>
      </c>
      <c r="I96" s="39" t="s">
        <v>114</v>
      </c>
      <c r="J96" s="39"/>
      <c r="O96" s="47" t="s">
        <v>46</v>
      </c>
      <c r="P96" s="38"/>
      <c r="S96" s="39" t="s">
        <v>106</v>
      </c>
      <c r="T96" s="39" t="s">
        <v>114</v>
      </c>
      <c r="U96" s="39">
        <v>1</v>
      </c>
    </row>
    <row r="97" spans="2:21" x14ac:dyDescent="0.2">
      <c r="B97" s="47" t="s">
        <v>47</v>
      </c>
      <c r="C97" s="39" t="str">
        <f>VLOOKUP(B97,'拌客源数据1-8月'!D:E,2,0)</f>
        <v>五角场店</v>
      </c>
      <c r="D97" s="40"/>
      <c r="E97" s="40"/>
      <c r="F97" s="39" t="s">
        <v>127</v>
      </c>
      <c r="G97" s="39">
        <v>2</v>
      </c>
      <c r="O97" s="47" t="s">
        <v>47</v>
      </c>
      <c r="P97" s="38"/>
      <c r="S97" s="39" t="s">
        <v>106</v>
      </c>
      <c r="T97" s="39" t="s">
        <v>115</v>
      </c>
      <c r="U97" s="39">
        <v>2</v>
      </c>
    </row>
    <row r="98" spans="2:21" x14ac:dyDescent="0.2">
      <c r="B98" s="47" t="s">
        <v>44</v>
      </c>
      <c r="C98" s="39" t="str">
        <f>VLOOKUP(B98,'拌客源数据1-8月'!D:E,2,0)</f>
        <v>龙阳广场店</v>
      </c>
      <c r="D98" s="40"/>
      <c r="E98" s="40"/>
      <c r="F98" s="39" t="s">
        <v>126</v>
      </c>
      <c r="G98" s="39">
        <v>3</v>
      </c>
      <c r="I98" t="s">
        <v>128</v>
      </c>
      <c r="O98" s="47" t="s">
        <v>44</v>
      </c>
      <c r="P98" s="38"/>
      <c r="S98" s="39" t="s">
        <v>107</v>
      </c>
      <c r="T98" s="39" t="s">
        <v>116</v>
      </c>
      <c r="U98" s="39">
        <v>3</v>
      </c>
    </row>
    <row r="99" spans="2:21" x14ac:dyDescent="0.2">
      <c r="B99" s="47" t="s">
        <v>45</v>
      </c>
      <c r="C99" s="39" t="str">
        <f>VLOOKUP(B99,'拌客源数据1-8月'!D:E,2,0)</f>
        <v>五角场店</v>
      </c>
      <c r="D99" s="40"/>
      <c r="E99" s="40"/>
      <c r="F99" s="39" t="s">
        <v>138</v>
      </c>
      <c r="G99" s="39">
        <v>4</v>
      </c>
      <c r="I99" s="39" t="s">
        <v>115</v>
      </c>
      <c r="J99" s="39"/>
      <c r="O99" s="47" t="s">
        <v>45</v>
      </c>
      <c r="P99" s="38"/>
      <c r="S99" s="39" t="s">
        <v>107</v>
      </c>
      <c r="T99" s="39" t="s">
        <v>116</v>
      </c>
      <c r="U99" s="39">
        <v>4</v>
      </c>
    </row>
    <row r="100" spans="2:21" x14ac:dyDescent="0.2">
      <c r="B100" s="47" t="s">
        <v>48</v>
      </c>
      <c r="C100" s="39" t="str">
        <f>VLOOKUP(B100,'拌客源数据1-8月'!D:E,2,0)</f>
        <v>怒江路店</v>
      </c>
      <c r="D100" s="40"/>
      <c r="E100" s="40"/>
      <c r="F100" s="39" t="s">
        <v>139</v>
      </c>
      <c r="G100" s="39">
        <v>5</v>
      </c>
      <c r="O100" s="47" t="s">
        <v>48</v>
      </c>
      <c r="P100" s="38"/>
      <c r="S100" s="39" t="s">
        <v>107</v>
      </c>
      <c r="T100" s="39" t="s">
        <v>114</v>
      </c>
      <c r="U100" s="39">
        <v>5</v>
      </c>
    </row>
    <row r="101" spans="2:21" x14ac:dyDescent="0.2">
      <c r="B101" s="47" t="s">
        <v>49</v>
      </c>
      <c r="C101" s="39" t="str">
        <f>VLOOKUP(B101,'拌客源数据1-8月'!D:E,2,0)</f>
        <v>宝山店</v>
      </c>
      <c r="D101" s="40"/>
      <c r="E101" s="40"/>
      <c r="F101" s="39" t="s">
        <v>119</v>
      </c>
      <c r="G101" s="39">
        <v>6</v>
      </c>
      <c r="O101" s="47" t="s">
        <v>49</v>
      </c>
      <c r="P101" s="38"/>
      <c r="S101" s="39" t="s">
        <v>111</v>
      </c>
      <c r="T101" s="39" t="s">
        <v>114</v>
      </c>
      <c r="U101" s="39">
        <v>6</v>
      </c>
    </row>
    <row r="102" spans="2:21" x14ac:dyDescent="0.2">
      <c r="B102" s="47" t="s">
        <v>50</v>
      </c>
      <c r="C102" s="39" t="str">
        <f>VLOOKUP(B102,'拌客源数据1-8月'!D:E,2,0)</f>
        <v>拌客干拌麻辣烫(武宁路店)</v>
      </c>
      <c r="D102" s="40"/>
      <c r="E102" s="40"/>
      <c r="F102" s="39" t="s">
        <v>120</v>
      </c>
      <c r="G102" s="39">
        <v>7</v>
      </c>
      <c r="O102" s="47" t="s">
        <v>50</v>
      </c>
      <c r="P102" s="38"/>
      <c r="S102" s="39" t="s">
        <v>111</v>
      </c>
      <c r="T102" s="39" t="s">
        <v>114</v>
      </c>
      <c r="U102" s="39">
        <v>7</v>
      </c>
    </row>
    <row r="103" spans="2:21" x14ac:dyDescent="0.2">
      <c r="B103" s="47" t="s">
        <v>51</v>
      </c>
      <c r="C103" s="39" t="str">
        <f>VLOOKUP(B103,'拌客源数据1-8月'!D:E,2,0)</f>
        <v>拌客干拌麻辣烫(武宁路店)</v>
      </c>
      <c r="D103" s="40"/>
      <c r="E103" s="40"/>
      <c r="F103" s="39" t="s">
        <v>160</v>
      </c>
      <c r="G103" s="39">
        <v>8</v>
      </c>
      <c r="O103" s="47" t="s">
        <v>51</v>
      </c>
      <c r="P103" s="38"/>
      <c r="S103" s="39" t="s">
        <v>112</v>
      </c>
      <c r="T103" s="39" t="s">
        <v>115</v>
      </c>
      <c r="U103" s="39">
        <v>8</v>
      </c>
    </row>
    <row r="104" spans="2:21" x14ac:dyDescent="0.2">
      <c r="B104" s="48"/>
      <c r="C104" s="40"/>
      <c r="D104" s="40"/>
      <c r="E104" s="40"/>
      <c r="F104" s="40"/>
      <c r="G104" s="40"/>
      <c r="O104" s="48"/>
      <c r="S104" s="40"/>
      <c r="T104" s="40"/>
      <c r="U104" s="40"/>
    </row>
    <row r="105" spans="2:21" x14ac:dyDescent="0.2">
      <c r="B105" s="48"/>
      <c r="C105" s="40"/>
      <c r="D105" s="40"/>
      <c r="E105" s="40"/>
      <c r="F105" s="40"/>
      <c r="G105" s="40"/>
    </row>
    <row r="106" spans="2:21" x14ac:dyDescent="0.2">
      <c r="B106" s="48"/>
      <c r="C106" s="40"/>
      <c r="D106" s="40"/>
      <c r="E106" s="40"/>
      <c r="F106" s="40"/>
      <c r="G106" s="40"/>
    </row>
    <row r="109" spans="2:21" x14ac:dyDescent="0.2">
      <c r="B109" t="s">
        <v>133</v>
      </c>
    </row>
    <row r="111" spans="2:21" x14ac:dyDescent="0.2">
      <c r="B111" s="60" t="s">
        <v>11</v>
      </c>
      <c r="C111" s="61"/>
      <c r="D111" s="39" t="s">
        <v>103</v>
      </c>
      <c r="E111" s="39" t="s">
        <v>131</v>
      </c>
      <c r="F111" s="39" t="s">
        <v>132</v>
      </c>
      <c r="G111" s="39" t="s">
        <v>55</v>
      </c>
      <c r="H111" s="39" t="s">
        <v>74</v>
      </c>
      <c r="I111" s="39" t="s">
        <v>75</v>
      </c>
      <c r="J111" s="40"/>
    </row>
    <row r="112" spans="2:21" x14ac:dyDescent="0.2">
      <c r="B112" s="60" t="s">
        <v>29</v>
      </c>
      <c r="C112" s="61"/>
      <c r="D112" s="39" t="str">
        <f>INDEX('拌客源数据1-8月'!$A:$X,MATCH($B112,'拌客源数据1-8月'!$I:$I,0),MATCH(D$111,'拌客源数据1-8月'!$1:$1,0))</f>
        <v>2001104355</v>
      </c>
      <c r="E112" s="39" t="str">
        <f>INDEX('拌客源数据1-8月'!$A:$X,MATCH($B112,'拌客源数据1-8月'!$I:$I,0),MATCH(E$111,'拌客源数据1-8月'!$1:$1,0))</f>
        <v>蛙小辣火锅杯（总账号）</v>
      </c>
      <c r="F112" s="39">
        <f>INDEX('拌客源数据1-8月'!$A:$X,MATCH($B112,'拌客源数据1-8月'!$I:$I,0),MATCH(F$111,'拌客源数据1-8月'!$1:$1,0))</f>
        <v>4636</v>
      </c>
      <c r="G112" s="39">
        <f>SUMIFS(INDEX('拌客源数据1-8月'!$A:$X,0,MATCH(G$111,'拌客源数据1-8月'!$1:$1,0)),'拌客源数据1-8月'!$I:$I,$B112)</f>
        <v>116343.26000000004</v>
      </c>
      <c r="H112" s="39">
        <f>SUMIFS(INDEX('拌客源数据1-8月'!$A:$X,0,MATCH(H$111,'拌客源数据1-8月'!$1:$1,0)),'拌客源数据1-8月'!$I:$I,$B112)</f>
        <v>11204</v>
      </c>
      <c r="I112" s="39">
        <f>SUMIFS(INDEX('拌客源数据1-8月'!$A:$X,0,MATCH(I$111,'拌客源数据1-8月'!$1:$1,0)),'拌客源数据1-8月'!$I:$I,$B112)</f>
        <v>1646</v>
      </c>
      <c r="J112" s="40"/>
    </row>
    <row r="113" spans="2:10" x14ac:dyDescent="0.2">
      <c r="B113" s="60" t="s">
        <v>23</v>
      </c>
      <c r="C113" s="61"/>
      <c r="D113" s="39" t="str">
        <f>INDEX('拌客源数据1-8月'!$A:$X,MATCH($B113,'拌客源数据1-8月'!$I:$I,0),MATCH(D$111,'拌客源数据1-8月'!$1:$1,0))</f>
        <v>8184590</v>
      </c>
      <c r="E113" s="39" t="str">
        <f>INDEX('拌客源数据1-8月'!$A:$X,MATCH($B113,'拌客源数据1-8月'!$I:$I,0),MATCH(E$111,'拌客源数据1-8月'!$1:$1,0))</f>
        <v>蛙小辣火锅杯（总账号）</v>
      </c>
      <c r="F113" s="39">
        <f>INDEX('拌客源数据1-8月'!$A:$X,MATCH($B113,'拌客源数据1-8月'!$I:$I,0),MATCH(F$111,'拌客源数据1-8月'!$1:$1,0))</f>
        <v>4636</v>
      </c>
      <c r="G113" s="39">
        <f>SUMIFS(INDEX('拌客源数据1-8月'!$A:$X,0,MATCH(G$111,'拌客源数据1-8月'!$1:$1,0)),'拌客源数据1-8月'!$I:$I,$B113)</f>
        <v>6787.9800000000005</v>
      </c>
      <c r="H113" s="39">
        <f>SUMIFS(INDEX('拌客源数据1-8月'!$A:$X,0,MATCH(H$111,'拌客源数据1-8月'!$1:$1,0)),'拌客源数据1-8月'!$I:$I,$B113)</f>
        <v>775</v>
      </c>
      <c r="I113" s="39">
        <f>SUMIFS(INDEX('拌客源数据1-8月'!$A:$X,0,MATCH(I$111,'拌客源数据1-8月'!$1:$1,0)),'拌客源数据1-8月'!$I:$I,$B113)</f>
        <v>113</v>
      </c>
      <c r="J113" s="40"/>
    </row>
    <row r="114" spans="2:10" x14ac:dyDescent="0.2">
      <c r="B114" s="60" t="s">
        <v>32</v>
      </c>
      <c r="C114" s="61"/>
      <c r="D114" s="39" t="str">
        <f>INDEX('拌客源数据1-8月'!$A:$X,MATCH($B114,'拌客源数据1-8月'!$I:$I,0),MATCH(D$111,'拌客源数据1-8月'!$1:$1,0))</f>
        <v>305225345</v>
      </c>
      <c r="E114" s="39" t="str">
        <f>INDEX('拌客源数据1-8月'!$A:$X,MATCH($B114,'拌客源数据1-8月'!$I:$I,0),MATCH(E$111,'拌客源数据1-8月'!$1:$1,0))</f>
        <v>蛙小辣火锅杯（总账号）</v>
      </c>
      <c r="F114" s="39">
        <f>INDEX('拌客源数据1-8月'!$A:$X,MATCH($B114,'拌客源数据1-8月'!$I:$I,0),MATCH(F$111,'拌客源数据1-8月'!$1:$1,0))</f>
        <v>4636</v>
      </c>
      <c r="G114" s="39">
        <f>SUMIFS(INDEX('拌客源数据1-8月'!$A:$X,0,MATCH(G$111,'拌客源数据1-8月'!$1:$1,0)),'拌客源数据1-8月'!$I:$I,$B114)</f>
        <v>6452.04</v>
      </c>
      <c r="H114" s="39">
        <f>SUMIFS(INDEX('拌客源数据1-8月'!$A:$X,0,MATCH(H$111,'拌客源数据1-8月'!$1:$1,0)),'拌客源数据1-8月'!$I:$I,$B114)</f>
        <v>590</v>
      </c>
      <c r="I114" s="39">
        <f>SUMIFS(INDEX('拌客源数据1-8月'!$A:$X,0,MATCH(I$111,'拌客源数据1-8月'!$1:$1,0)),'拌客源数据1-8月'!$I:$I,$B114)</f>
        <v>108</v>
      </c>
      <c r="J114" s="40"/>
    </row>
    <row r="115" spans="2:10" x14ac:dyDescent="0.2">
      <c r="B115" s="60" t="s">
        <v>30</v>
      </c>
      <c r="C115" s="61"/>
      <c r="D115" s="39" t="str">
        <f>INDEX('拌客源数据1-8月'!$A:$X,MATCH($B115,'拌客源数据1-8月'!$I:$I,0),MATCH(D$111,'拌客源数据1-8月'!$1:$1,0))</f>
        <v>2000507076</v>
      </c>
      <c r="E115" s="39" t="str">
        <f>INDEX('拌客源数据1-8月'!$A:$X,MATCH($B115,'拌客源数据1-8月'!$I:$I,0),MATCH(E$111,'拌客源数据1-8月'!$1:$1,0))</f>
        <v>蛙小辣火锅杯（总账号）</v>
      </c>
      <c r="F115" s="39">
        <f>INDEX('拌客源数据1-8月'!$A:$X,MATCH($B115,'拌客源数据1-8月'!$I:$I,0),MATCH(F$111,'拌客源数据1-8月'!$1:$1,0))</f>
        <v>4636</v>
      </c>
      <c r="G115" s="39">
        <f>SUMIFS(INDEX('拌客源数据1-8月'!$A:$X,0,MATCH(G$111,'拌客源数据1-8月'!$1:$1,0)),'拌客源数据1-8月'!$I:$I,$B115)</f>
        <v>33744.82</v>
      </c>
      <c r="H115" s="39">
        <f>SUMIFS(INDEX('拌客源数据1-8月'!$A:$X,0,MATCH(H$111,'拌客源数据1-8月'!$1:$1,0)),'拌客源数据1-8月'!$I:$I,$B115)</f>
        <v>2490</v>
      </c>
      <c r="I115" s="39">
        <f>SUMIFS(INDEX('拌客源数据1-8月'!$A:$X,0,MATCH(I$111,'拌客源数据1-8月'!$1:$1,0)),'拌客源数据1-8月'!$I:$I,$B115)</f>
        <v>512</v>
      </c>
      <c r="J115" s="40"/>
    </row>
    <row r="116" spans="2:10" x14ac:dyDescent="0.2">
      <c r="B116" s="60" t="s">
        <v>25</v>
      </c>
      <c r="C116" s="61"/>
      <c r="D116" s="39" t="str">
        <f>INDEX('拌客源数据1-8月'!$A:$X,MATCH($B116,'拌客源数据1-8月'!$I:$I,0),MATCH(D$111,'拌客源数据1-8月'!$1:$1,0))</f>
        <v>8106681</v>
      </c>
      <c r="E116" s="39" t="str">
        <f>INDEX('拌客源数据1-8月'!$A:$X,MATCH($B116,'拌客源数据1-8月'!$I:$I,0),MATCH(E$111,'拌客源数据1-8月'!$1:$1,0))</f>
        <v>蛙小辣火锅杯（总账号）</v>
      </c>
      <c r="F116" s="39">
        <f>INDEX('拌客源数据1-8月'!$A:$X,MATCH($B116,'拌客源数据1-8月'!$I:$I,0),MATCH(F$111,'拌客源数据1-8月'!$1:$1,0))</f>
        <v>4636</v>
      </c>
      <c r="G116" s="39">
        <f>SUMIFS(INDEX('拌客源数据1-8月'!$A:$X,0,MATCH(G$111,'拌客源数据1-8月'!$1:$1,0)),'拌客源数据1-8月'!$I:$I,$B116)</f>
        <v>4313.57</v>
      </c>
      <c r="H116" s="39">
        <f>SUMIFS(INDEX('拌客源数据1-8月'!$A:$X,0,MATCH(H$111,'拌客源数据1-8月'!$1:$1,0)),'拌客源数据1-8月'!$I:$I,$B116)</f>
        <v>367</v>
      </c>
      <c r="I116" s="39">
        <f>SUMIFS(INDEX('拌客源数据1-8月'!$A:$X,0,MATCH(I$111,'拌客源数据1-8月'!$1:$1,0)),'拌客源数据1-8月'!$I:$I,$B116)</f>
        <v>66</v>
      </c>
      <c r="J116" s="40"/>
    </row>
    <row r="117" spans="2:10" x14ac:dyDescent="0.2">
      <c r="B117" s="60" t="s">
        <v>34</v>
      </c>
      <c r="C117" s="61"/>
      <c r="D117" s="39" t="str">
        <f>INDEX('拌客源数据1-8月'!$A:$X,MATCH($B117,'拌客源数据1-8月'!$I:$I,0),MATCH(D$111,'拌客源数据1-8月'!$1:$1,0))</f>
        <v>8491999</v>
      </c>
      <c r="E117" s="39" t="str">
        <f>INDEX('拌客源数据1-8月'!$A:$X,MATCH($B117,'拌客源数据1-8月'!$I:$I,0),MATCH(E$111,'拌客源数据1-8月'!$1:$1,0))</f>
        <v>蛙小辣火锅杯（总账号）</v>
      </c>
      <c r="F117" s="39">
        <f>INDEX('拌客源数据1-8月'!$A:$X,MATCH($B117,'拌客源数据1-8月'!$I:$I,0),MATCH(F$111,'拌客源数据1-8月'!$1:$1,0))</f>
        <v>4636</v>
      </c>
      <c r="G117" s="39">
        <f>SUMIFS(INDEX('拌客源数据1-8月'!$A:$X,0,MATCH(G$111,'拌客源数据1-8月'!$1:$1,0)),'拌客源数据1-8月'!$I:$I,$B117)</f>
        <v>169975.03999999998</v>
      </c>
      <c r="H117" s="39">
        <f>SUMIFS(INDEX('拌客源数据1-8月'!$A:$X,0,MATCH(H$111,'拌客源数据1-8月'!$1:$1,0)),'拌客源数据1-8月'!$I:$I,$B117)</f>
        <v>15813</v>
      </c>
      <c r="I117" s="39">
        <f>SUMIFS(INDEX('拌客源数据1-8月'!$A:$X,0,MATCH(I$111,'拌客源数据1-8月'!$1:$1,0)),'拌客源数据1-8月'!$I:$I,$B117)</f>
        <v>2969</v>
      </c>
      <c r="J117" s="40"/>
    </row>
    <row r="118" spans="2:10" x14ac:dyDescent="0.2">
      <c r="B118" s="60" t="s">
        <v>33</v>
      </c>
      <c r="C118" s="61"/>
      <c r="D118" s="39" t="str">
        <f>INDEX('拌客源数据1-8月'!$A:$X,MATCH($B118,'拌客源数据1-8月'!$I:$I,0),MATCH(D$111,'拌客源数据1-8月'!$1:$1,0))</f>
        <v>8184590</v>
      </c>
      <c r="E118" s="39" t="str">
        <f>INDEX('拌客源数据1-8月'!$A:$X,MATCH($B118,'拌客源数据1-8月'!$I:$I,0),MATCH(E$111,'拌客源数据1-8月'!$1:$1,0))</f>
        <v>蛙小辣火锅杯（总账号）</v>
      </c>
      <c r="F118" s="39">
        <f>INDEX('拌客源数据1-8月'!$A:$X,MATCH($B118,'拌客源数据1-8月'!$I:$I,0),MATCH(F$111,'拌客源数据1-8月'!$1:$1,0))</f>
        <v>4636</v>
      </c>
      <c r="G118" s="39">
        <f>SUMIFS(INDEX('拌客源数据1-8月'!$A:$X,0,MATCH(G$111,'拌客源数据1-8月'!$1:$1,0)),'拌客源数据1-8月'!$I:$I,$B118)</f>
        <v>9368.7099999999973</v>
      </c>
      <c r="H118" s="39">
        <f>SUMIFS(INDEX('拌客源数据1-8月'!$A:$X,0,MATCH(H$111,'拌客源数据1-8月'!$1:$1,0)),'拌客源数据1-8月'!$I:$I,$B118)</f>
        <v>791</v>
      </c>
      <c r="I118" s="39">
        <f>SUMIFS(INDEX('拌客源数据1-8月'!$A:$X,0,MATCH(I$111,'拌客源数据1-8月'!$1:$1,0)),'拌客源数据1-8月'!$I:$I,$B118)</f>
        <v>154</v>
      </c>
      <c r="J118" s="40"/>
    </row>
    <row r="119" spans="2:10" x14ac:dyDescent="0.2">
      <c r="B119" s="60" t="s">
        <v>35</v>
      </c>
      <c r="C119" s="61"/>
      <c r="D119" s="39" t="str">
        <f>INDEX('拌客源数据1-8月'!$A:$X,MATCH($B119,'拌客源数据1-8月'!$I:$I,0),MATCH(D$111,'拌客源数据1-8月'!$1:$1,0))</f>
        <v>2000507076</v>
      </c>
      <c r="E119" s="39" t="str">
        <f>INDEX('拌客源数据1-8月'!$A:$X,MATCH($B119,'拌客源数据1-8月'!$I:$I,0),MATCH(E$111,'拌客源数据1-8月'!$1:$1,0))</f>
        <v>蛙小辣火锅杯（总账号）</v>
      </c>
      <c r="F119" s="39">
        <f>INDEX('拌客源数据1-8月'!$A:$X,MATCH($B119,'拌客源数据1-8月'!$I:$I,0),MATCH(F$111,'拌客源数据1-8月'!$1:$1,0))</f>
        <v>4636</v>
      </c>
      <c r="G119" s="39">
        <f>SUMIFS(INDEX('拌客源数据1-8月'!$A:$X,0,MATCH(G$111,'拌客源数据1-8月'!$1:$1,0)),'拌客源数据1-8月'!$I:$I,$B119)</f>
        <v>784.71</v>
      </c>
      <c r="H119" s="39">
        <f>SUMIFS(INDEX('拌客源数据1-8月'!$A:$X,0,MATCH(H$111,'拌客源数据1-8月'!$1:$1,0)),'拌客源数据1-8月'!$I:$I,$B119)</f>
        <v>48</v>
      </c>
      <c r="I119" s="39">
        <f>SUMIFS(INDEX('拌客源数据1-8月'!$A:$X,0,MATCH(I$111,'拌客源数据1-8月'!$1:$1,0)),'拌客源数据1-8月'!$I:$I,$B119)</f>
        <v>11</v>
      </c>
      <c r="J119" s="40"/>
    </row>
    <row r="120" spans="2:10" x14ac:dyDescent="0.2">
      <c r="B120" s="60" t="s">
        <v>36</v>
      </c>
      <c r="C120" s="61"/>
      <c r="D120" s="39" t="str">
        <f>INDEX('拌客源数据1-8月'!$A:$X,MATCH($B120,'拌客源数据1-8月'!$I:$I,0),MATCH(D$111,'拌客源数据1-8月'!$1:$1,0))</f>
        <v>2000507076</v>
      </c>
      <c r="E120" s="39" t="str">
        <f>INDEX('拌客源数据1-8月'!$A:$X,MATCH($B120,'拌客源数据1-8月'!$I:$I,0),MATCH(E$111,'拌客源数据1-8月'!$1:$1,0))</f>
        <v>蛙小辣火锅杯（总账号）</v>
      </c>
      <c r="F120" s="39">
        <f>INDEX('拌客源数据1-8月'!$A:$X,MATCH($B120,'拌客源数据1-8月'!$I:$I,0),MATCH(F$111,'拌客源数据1-8月'!$1:$1,0))</f>
        <v>4636</v>
      </c>
      <c r="G120" s="39">
        <f>SUMIFS(INDEX('拌客源数据1-8月'!$A:$X,0,MATCH(G$111,'拌客源数据1-8月'!$1:$1,0)),'拌客源数据1-8月'!$I:$I,$B120)</f>
        <v>11932.99</v>
      </c>
      <c r="H120" s="39">
        <f>SUMIFS(INDEX('拌客源数据1-8月'!$A:$X,0,MATCH(H$111,'拌客源数据1-8月'!$1:$1,0)),'拌客源数据1-8月'!$I:$I,$B120)</f>
        <v>699</v>
      </c>
      <c r="I120" s="39">
        <f>SUMIFS(INDEX('拌客源数据1-8月'!$A:$X,0,MATCH(I$111,'拌客源数据1-8月'!$1:$1,0)),'拌客源数据1-8月'!$I:$I,$B120)</f>
        <v>167</v>
      </c>
      <c r="J120" s="40"/>
    </row>
    <row r="121" spans="2:10" x14ac:dyDescent="0.2">
      <c r="B121" s="60" t="s">
        <v>37</v>
      </c>
      <c r="C121" s="61"/>
      <c r="D121" s="39" t="str">
        <f>INDEX('拌客源数据1-8月'!$A:$X,MATCH($B121,'拌客源数据1-8月'!$I:$I,0),MATCH(D$111,'拌客源数据1-8月'!$1:$1,0))</f>
        <v>2001104355</v>
      </c>
      <c r="E121" s="39" t="str">
        <f>INDEX('拌客源数据1-8月'!$A:$X,MATCH($B121,'拌客源数据1-8月'!$I:$I,0),MATCH(E$111,'拌客源数据1-8月'!$1:$1,0))</f>
        <v>蛙小辣火锅杯（总账号）</v>
      </c>
      <c r="F121" s="39">
        <f>INDEX('拌客源数据1-8月'!$A:$X,MATCH($B121,'拌客源数据1-8月'!$I:$I,0),MATCH(F$111,'拌客源数据1-8月'!$1:$1,0))</f>
        <v>4636</v>
      </c>
      <c r="G121" s="39">
        <f>SUMIFS(INDEX('拌客源数据1-8月'!$A:$X,0,MATCH(G$111,'拌客源数据1-8月'!$1:$1,0)),'拌客源数据1-8月'!$I:$I,$B121)</f>
        <v>157511.31999999995</v>
      </c>
      <c r="H121" s="39">
        <f>SUMIFS(INDEX('拌客源数据1-8月'!$A:$X,0,MATCH(H$111,'拌客源数据1-8月'!$1:$1,0)),'拌客源数据1-8月'!$I:$I,$B121)</f>
        <v>10924</v>
      </c>
      <c r="I121" s="39">
        <f>SUMIFS(INDEX('拌客源数据1-8月'!$A:$X,0,MATCH(I$111,'拌客源数据1-8月'!$1:$1,0)),'拌客源数据1-8月'!$I:$I,$B121)</f>
        <v>2362</v>
      </c>
      <c r="J121" s="40"/>
    </row>
    <row r="122" spans="2:10" x14ac:dyDescent="0.2">
      <c r="B122" s="60" t="s">
        <v>38</v>
      </c>
      <c r="C122" s="61"/>
      <c r="D122" s="39" t="str">
        <f>INDEX('拌客源数据1-8月'!$A:$X,MATCH($B122,'拌客源数据1-8月'!$I:$I,0),MATCH(D$111,'拌客源数据1-8月'!$1:$1,0))</f>
        <v>2000507076</v>
      </c>
      <c r="E122" s="39" t="str">
        <f>INDEX('拌客源数据1-8月'!$A:$X,MATCH($B122,'拌客源数据1-8月'!$I:$I,0),MATCH(E$111,'拌客源数据1-8月'!$1:$1,0))</f>
        <v>蛙小辣火锅杯（总账号）</v>
      </c>
      <c r="F122" s="39">
        <f>INDEX('拌客源数据1-8月'!$A:$X,MATCH($B122,'拌客源数据1-8月'!$I:$I,0),MATCH(F$111,'拌客源数据1-8月'!$1:$1,0))</f>
        <v>4636</v>
      </c>
      <c r="G122" s="39">
        <f>SUMIFS(INDEX('拌客源数据1-8月'!$A:$X,0,MATCH(G$111,'拌客源数据1-8月'!$1:$1,0)),'拌客源数据1-8月'!$I:$I,$B122)</f>
        <v>13823.480000000001</v>
      </c>
      <c r="H122" s="39">
        <f>SUMIFS(INDEX('拌客源数据1-8月'!$A:$X,0,MATCH(H$111,'拌客源数据1-8月'!$1:$1,0)),'拌客源数据1-8月'!$I:$I,$B122)</f>
        <v>849</v>
      </c>
      <c r="I122" s="39">
        <f>SUMIFS(INDEX('拌客源数据1-8月'!$A:$X,0,MATCH(I$111,'拌客源数据1-8月'!$1:$1,0)),'拌客源数据1-8月'!$I:$I,$B122)</f>
        <v>205</v>
      </c>
      <c r="J122" s="40"/>
    </row>
    <row r="123" spans="2:10" x14ac:dyDescent="0.2">
      <c r="B123" s="60" t="s">
        <v>39</v>
      </c>
      <c r="C123" s="61"/>
      <c r="D123" s="39" t="str">
        <f>INDEX('拌客源数据1-8月'!$A:$X,MATCH($B123,'拌客源数据1-8月'!$I:$I,0),MATCH(D$111,'拌客源数据1-8月'!$1:$1,0))</f>
        <v>8184590</v>
      </c>
      <c r="E123" s="39" t="str">
        <f>INDEX('拌客源数据1-8月'!$A:$X,MATCH($B123,'拌客源数据1-8月'!$I:$I,0),MATCH(E$111,'拌客源数据1-8月'!$1:$1,0))</f>
        <v>蛙小辣火锅杯（总账号）</v>
      </c>
      <c r="F123" s="39">
        <f>INDEX('拌客源数据1-8月'!$A:$X,MATCH($B123,'拌客源数据1-8月'!$I:$I,0),MATCH(F$111,'拌客源数据1-8月'!$1:$1,0))</f>
        <v>4636</v>
      </c>
      <c r="G123" s="39">
        <f>SUMIFS(INDEX('拌客源数据1-8月'!$A:$X,0,MATCH(G$111,'拌客源数据1-8月'!$1:$1,0)),'拌客源数据1-8月'!$I:$I,$B123)</f>
        <v>682.13</v>
      </c>
      <c r="H123" s="39">
        <f>SUMIFS(INDEX('拌客源数据1-8月'!$A:$X,0,MATCH(H$111,'拌客源数据1-8月'!$1:$1,0)),'拌客源数据1-8月'!$I:$I,$B123)</f>
        <v>45</v>
      </c>
      <c r="I123" s="39">
        <f>SUMIFS(INDEX('拌客源数据1-8月'!$A:$X,0,MATCH(I$111,'拌客源数据1-8月'!$1:$1,0)),'拌客源数据1-8月'!$I:$I,$B123)</f>
        <v>8</v>
      </c>
      <c r="J123" s="40"/>
    </row>
    <row r="124" spans="2:10" x14ac:dyDescent="0.2">
      <c r="B124" s="60" t="s">
        <v>41</v>
      </c>
      <c r="C124" s="61"/>
      <c r="D124" s="39" t="str">
        <f>INDEX('拌客源数据1-8月'!$A:$X,MATCH($B124,'拌客源数据1-8月'!$I:$I,0),MATCH(D$111,'拌客源数据1-8月'!$1:$1,0))</f>
        <v>337460136</v>
      </c>
      <c r="E124" s="39" t="str">
        <f>INDEX('拌客源数据1-8月'!$A:$X,MATCH($B124,'拌客源数据1-8月'!$I:$I,0),MATCH(E$111,'拌客源数据1-8月'!$1:$1,0))</f>
        <v>拌客（武宁路店）</v>
      </c>
      <c r="F124" s="39">
        <f>INDEX('拌客源数据1-8月'!$A:$X,MATCH($B124,'拌客源数据1-8月'!$I:$I,0),MATCH(F$111,'拌客源数据1-8月'!$1:$1,0))</f>
        <v>6108</v>
      </c>
      <c r="G124" s="39">
        <f>SUMIFS(INDEX('拌客源数据1-8月'!$A:$X,0,MATCH(G$111,'拌客源数据1-8月'!$1:$1,0)),'拌客源数据1-8月'!$I:$I,$B124)</f>
        <v>3913.76</v>
      </c>
      <c r="H124" s="39">
        <f>SUMIFS(INDEX('拌客源数据1-8月'!$A:$X,0,MATCH(H$111,'拌客源数据1-8月'!$1:$1,0)),'拌客源数据1-8月'!$I:$I,$B124)</f>
        <v>441</v>
      </c>
      <c r="I124" s="39">
        <f>SUMIFS(INDEX('拌客源数据1-8月'!$A:$X,0,MATCH(I$111,'拌客源数据1-8月'!$1:$1,0)),'拌客源数据1-8月'!$I:$I,$B124)</f>
        <v>72</v>
      </c>
      <c r="J124" s="40"/>
    </row>
    <row r="125" spans="2:10" x14ac:dyDescent="0.2">
      <c r="B125" s="60" t="s">
        <v>42</v>
      </c>
      <c r="C125" s="61"/>
      <c r="D125" s="39" t="str">
        <f>INDEX('拌客源数据1-8月'!$A:$X,MATCH($B125,'拌客源数据1-8月'!$I:$I,0),MATCH(D$111,'拌客源数据1-8月'!$1:$1,0))</f>
        <v>337460136</v>
      </c>
      <c r="E125" s="39" t="str">
        <f>INDEX('拌客源数据1-8月'!$A:$X,MATCH($B125,'拌客源数据1-8月'!$I:$I,0),MATCH(E$111,'拌客源数据1-8月'!$1:$1,0))</f>
        <v>拌客（武宁路店）</v>
      </c>
      <c r="F125" s="39">
        <f>INDEX('拌客源数据1-8月'!$A:$X,MATCH($B125,'拌客源数据1-8月'!$I:$I,0),MATCH(F$111,'拌客源数据1-8月'!$1:$1,0))</f>
        <v>6108</v>
      </c>
      <c r="G125" s="39">
        <f>SUMIFS(INDEX('拌客源数据1-8月'!$A:$X,0,MATCH(G$111,'拌客源数据1-8月'!$1:$1,0)),'拌客源数据1-8月'!$I:$I,$B125)</f>
        <v>421831.69999999995</v>
      </c>
      <c r="H125" s="39">
        <f>SUMIFS(INDEX('拌客源数据1-8月'!$A:$X,0,MATCH(H$111,'拌客源数据1-8月'!$1:$1,0)),'拌客源数据1-8月'!$I:$I,$B125)</f>
        <v>31427</v>
      </c>
      <c r="I125" s="39">
        <f>SUMIFS(INDEX('拌客源数据1-8月'!$A:$X,0,MATCH(I$111,'拌客源数据1-8月'!$1:$1,0)),'拌客源数据1-8月'!$I:$I,$B125)</f>
        <v>8314</v>
      </c>
      <c r="J125" s="40"/>
    </row>
    <row r="126" spans="2:10" x14ac:dyDescent="0.2">
      <c r="B126" s="60" t="s">
        <v>43</v>
      </c>
      <c r="C126" s="61"/>
      <c r="D126" s="39" t="str">
        <f>INDEX('拌客源数据1-8月'!$A:$X,MATCH($B126,'拌客源数据1-8月'!$I:$I,0),MATCH(D$111,'拌客源数据1-8月'!$1:$1,0))</f>
        <v>9428110</v>
      </c>
      <c r="E126" s="39" t="str">
        <f>INDEX('拌客源数据1-8月'!$A:$X,MATCH($B126,'拌客源数据1-8月'!$I:$I,0),MATCH(E$111,'拌客源数据1-8月'!$1:$1,0))</f>
        <v>拌客（武宁路店）</v>
      </c>
      <c r="F126" s="39">
        <f>INDEX('拌客源数据1-8月'!$A:$X,MATCH($B126,'拌客源数据1-8月'!$I:$I,0),MATCH(F$111,'拌客源数据1-8月'!$1:$1,0))</f>
        <v>6108</v>
      </c>
      <c r="G126" s="39">
        <f>SUMIFS(INDEX('拌客源数据1-8月'!$A:$X,0,MATCH(G$111,'拌客源数据1-8月'!$1:$1,0)),'拌客源数据1-8月'!$I:$I,$B126)</f>
        <v>114007.74</v>
      </c>
      <c r="H126" s="39">
        <f>SUMIFS(INDEX('拌客源数据1-8月'!$A:$X,0,MATCH(H$111,'拌客源数据1-8月'!$1:$1,0)),'拌客源数据1-8月'!$I:$I,$B126)</f>
        <v>7867</v>
      </c>
      <c r="I126" s="39">
        <f>SUMIFS(INDEX('拌客源数据1-8月'!$A:$X,0,MATCH(I$111,'拌客源数据1-8月'!$1:$1,0)),'拌客源数据1-8月'!$I:$I,$B126)</f>
        <v>2329</v>
      </c>
      <c r="J126" s="40"/>
    </row>
    <row r="127" spans="2:10" x14ac:dyDescent="0.2">
      <c r="B127" s="49"/>
      <c r="C127" s="49"/>
      <c r="D127" s="40"/>
      <c r="E127" s="40"/>
      <c r="F127" s="40"/>
      <c r="G127" s="40"/>
    </row>
    <row r="128" spans="2:10" x14ac:dyDescent="0.2">
      <c r="B128" s="49"/>
      <c r="C128" s="49"/>
      <c r="D128" s="40"/>
      <c r="E128" s="40"/>
      <c r="F128" s="40"/>
      <c r="G128" s="40"/>
    </row>
    <row r="129" spans="2:7" x14ac:dyDescent="0.2">
      <c r="B129" s="49"/>
      <c r="C129" s="49"/>
      <c r="D129" s="40"/>
      <c r="E129" s="40"/>
      <c r="F129" s="40"/>
      <c r="G129" s="40"/>
    </row>
    <row r="130" spans="2:7" x14ac:dyDescent="0.2">
      <c r="B130" s="49"/>
      <c r="C130" s="49"/>
      <c r="D130" s="40"/>
      <c r="E130" s="40"/>
      <c r="F130" s="40"/>
      <c r="G130" s="40"/>
    </row>
    <row r="131" spans="2:7" x14ac:dyDescent="0.2">
      <c r="B131" s="49"/>
      <c r="C131" s="49"/>
      <c r="D131" s="40"/>
      <c r="E131" s="40"/>
      <c r="F131" s="40"/>
      <c r="G131" s="40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E52F-C4E7-43C6-91AE-DAA0575C4C20}">
  <sheetPr codeName="Sheet3">
    <tabColor theme="9" tint="0.39997558519241921"/>
  </sheetPr>
  <dimension ref="B1:X145"/>
  <sheetViews>
    <sheetView workbookViewId="0"/>
  </sheetViews>
  <sheetFormatPr defaultRowHeight="14.25" x14ac:dyDescent="0.2"/>
  <cols>
    <col min="2" max="2" width="13.375" customWidth="1"/>
    <col min="3" max="3" width="45.25" customWidth="1"/>
    <col min="4" max="4" width="31.375" customWidth="1"/>
    <col min="5" max="5" width="34.25" customWidth="1"/>
    <col min="6" max="6" width="21.375" bestFit="1" customWidth="1"/>
    <col min="7" max="7" width="24.5" bestFit="1" customWidth="1"/>
    <col min="8" max="8" width="14.25" customWidth="1"/>
    <col min="9" max="9" width="12.125" customWidth="1"/>
    <col min="10" max="10" width="19.5" bestFit="1" customWidth="1"/>
    <col min="11" max="11" width="28.125" customWidth="1"/>
    <col min="12" max="12" width="21.75" customWidth="1"/>
    <col min="13" max="13" width="11.625" bestFit="1" customWidth="1"/>
    <col min="15" max="15" width="11.625" bestFit="1" customWidth="1"/>
    <col min="16" max="16" width="12.125" bestFit="1" customWidth="1"/>
    <col min="19" max="19" width="9.125" bestFit="1" customWidth="1"/>
    <col min="20" max="20" width="10.5" bestFit="1" customWidth="1"/>
    <col min="23" max="23" width="9.125" bestFit="1" customWidth="1"/>
    <col min="24" max="24" width="10.5" bestFit="1" customWidth="1"/>
  </cols>
  <sheetData>
    <row r="1" spans="2:13" x14ac:dyDescent="0.2">
      <c r="M1" s="37"/>
    </row>
    <row r="2" spans="2:13" x14ac:dyDescent="0.2">
      <c r="B2" t="s">
        <v>78</v>
      </c>
      <c r="M2" s="37"/>
    </row>
    <row r="3" spans="2:13" x14ac:dyDescent="0.2">
      <c r="M3" s="37"/>
    </row>
    <row r="4" spans="2:13" x14ac:dyDescent="0.2">
      <c r="B4" s="38"/>
      <c r="C4" s="39" t="s">
        <v>83</v>
      </c>
      <c r="D4" s="39" t="s">
        <v>84</v>
      </c>
      <c r="E4" s="59"/>
      <c r="M4" s="37"/>
    </row>
    <row r="5" spans="2:13" x14ac:dyDescent="0.2">
      <c r="B5" s="39" t="s">
        <v>72</v>
      </c>
      <c r="C5" s="39">
        <f>SUM('拌客源数据1-8月'!J:J)</f>
        <v>1071473.2499999998</v>
      </c>
      <c r="D5" s="39">
        <f>SUM('拌客源数据1-8月'!J2:J25,'拌客源数据1-8月'!J496:J562)</f>
        <v>145618.28999999995</v>
      </c>
      <c r="M5" s="37"/>
    </row>
    <row r="6" spans="2:13" x14ac:dyDescent="0.2">
      <c r="B6" s="40"/>
      <c r="C6" s="40">
        <f>SUM(C30:E36)</f>
        <v>10139.011429603675</v>
      </c>
      <c r="M6" s="37"/>
    </row>
    <row r="7" spans="2:13" x14ac:dyDescent="0.2">
      <c r="B7" s="40"/>
      <c r="C7" s="40"/>
      <c r="M7" s="37"/>
    </row>
    <row r="8" spans="2:13" x14ac:dyDescent="0.2">
      <c r="B8" s="40"/>
      <c r="C8" s="40"/>
      <c r="M8" s="37"/>
    </row>
    <row r="9" spans="2:13" x14ac:dyDescent="0.2">
      <c r="B9" s="40"/>
      <c r="C9" s="40"/>
      <c r="M9" s="37"/>
    </row>
    <row r="10" spans="2:13" x14ac:dyDescent="0.2">
      <c r="C10" s="41"/>
      <c r="M10" s="37"/>
    </row>
    <row r="11" spans="2:13" x14ac:dyDescent="0.2">
      <c r="M11" s="37"/>
    </row>
    <row r="12" spans="2:13" x14ac:dyDescent="0.2">
      <c r="B12" t="s">
        <v>79</v>
      </c>
      <c r="D12" s="50">
        <f>B16</f>
        <v>44019</v>
      </c>
      <c r="M12" s="37"/>
    </row>
    <row r="13" spans="2:13" x14ac:dyDescent="0.2">
      <c r="M13" s="37"/>
    </row>
    <row r="14" spans="2:13" x14ac:dyDescent="0.2">
      <c r="B14" s="38"/>
      <c r="C14" s="39" t="s">
        <v>55</v>
      </c>
      <c r="F14" s="50"/>
      <c r="G14" s="50"/>
    </row>
    <row r="15" spans="2:13" x14ac:dyDescent="0.2">
      <c r="B15" s="42">
        <v>44013</v>
      </c>
      <c r="C15" s="39">
        <f>SUMIF('拌客源数据1-8月'!A:A,'常用函数-完成版'!B15,'拌客源数据1-8月'!J:J)</f>
        <v>6001.38</v>
      </c>
      <c r="D15" s="43" t="s">
        <v>149</v>
      </c>
      <c r="E15">
        <v>1</v>
      </c>
      <c r="F15" s="50"/>
      <c r="G15" s="50"/>
    </row>
    <row r="16" spans="2:13" x14ac:dyDescent="0.2">
      <c r="B16" s="42">
        <v>44019</v>
      </c>
      <c r="C16" s="39">
        <f>SUMIF('拌客源数据1-8月'!A:A,'常用函数-完成版'!B16,'拌客源数据1-8月'!J:J)</f>
        <v>4764.71</v>
      </c>
      <c r="D16" s="43" t="s">
        <v>149</v>
      </c>
      <c r="E16">
        <v>2</v>
      </c>
      <c r="F16" s="50"/>
      <c r="G16" s="50"/>
    </row>
    <row r="17" spans="2:12" x14ac:dyDescent="0.2">
      <c r="B17" s="42">
        <v>44028</v>
      </c>
      <c r="C17" s="39">
        <f>SUMIF('拌客源数据1-8月'!A:A,'常用函数-完成版'!B17,'拌客源数据1-8月'!J:J)</f>
        <v>11158.91</v>
      </c>
      <c r="D17" s="43" t="s">
        <v>149</v>
      </c>
      <c r="E17">
        <v>1</v>
      </c>
      <c r="F17" s="50"/>
      <c r="G17" s="50"/>
    </row>
    <row r="18" spans="2:12" x14ac:dyDescent="0.2">
      <c r="B18" s="42">
        <v>44029</v>
      </c>
      <c r="C18" s="39">
        <f>SUMIF('拌客源数据1-8月'!A:A,'常用函数-完成版'!B18,'拌客源数据1-8月'!J:J)</f>
        <v>10788.41</v>
      </c>
      <c r="D18" s="43" t="s">
        <v>149</v>
      </c>
      <c r="E18">
        <v>2</v>
      </c>
      <c r="F18" s="50"/>
    </row>
    <row r="19" spans="2:12" x14ac:dyDescent="0.2">
      <c r="B19" s="42">
        <v>44051</v>
      </c>
      <c r="C19" s="39">
        <f>SUMIF('拌客源数据1-8月'!A:A,'常用函数-完成版'!B19,'拌客源数据1-8月'!J:J)</f>
        <v>1374.4099999999999</v>
      </c>
      <c r="D19" s="43" t="s">
        <v>149</v>
      </c>
      <c r="E19">
        <v>1</v>
      </c>
      <c r="F19" s="50"/>
    </row>
    <row r="20" spans="2:12" x14ac:dyDescent="0.2">
      <c r="B20" s="42">
        <v>44062</v>
      </c>
      <c r="C20" s="39">
        <f>SUMIF('拌客源数据1-8月'!A:A,'常用函数-完成版'!B20,'拌客源数据1-8月'!J:J)</f>
        <v>2588.69</v>
      </c>
      <c r="D20" s="43" t="s">
        <v>149</v>
      </c>
      <c r="E20">
        <v>2</v>
      </c>
      <c r="F20" s="50"/>
    </row>
    <row r="21" spans="2:12" x14ac:dyDescent="0.2">
      <c r="B21" s="42">
        <v>44064</v>
      </c>
      <c r="C21" s="39">
        <f>SUMIF('拌客源数据1-8月'!A:A,'常用函数-完成版'!B21,'拌客源数据1-8月'!J:J)</f>
        <v>2118.79</v>
      </c>
      <c r="D21" s="43" t="s">
        <v>149</v>
      </c>
      <c r="E21">
        <v>1</v>
      </c>
      <c r="F21" s="50"/>
    </row>
    <row r="22" spans="2:12" x14ac:dyDescent="0.2">
      <c r="B22" s="44"/>
      <c r="C22" s="40"/>
    </row>
    <row r="23" spans="2:12" x14ac:dyDescent="0.2">
      <c r="B23" s="44"/>
      <c r="C23" s="40"/>
    </row>
    <row r="24" spans="2:12" x14ac:dyDescent="0.2">
      <c r="B24" s="44"/>
      <c r="C24" s="40"/>
    </row>
    <row r="27" spans="2:12" x14ac:dyDescent="0.2">
      <c r="B27" t="s">
        <v>80</v>
      </c>
    </row>
    <row r="29" spans="2:12" x14ac:dyDescent="0.2">
      <c r="B29" s="38"/>
      <c r="C29" s="39" t="s">
        <v>134</v>
      </c>
      <c r="D29" s="39" t="s">
        <v>86</v>
      </c>
      <c r="E29" s="39" t="s">
        <v>85</v>
      </c>
      <c r="F29" s="40" t="s">
        <v>151</v>
      </c>
      <c r="G29" s="40" t="s">
        <v>152</v>
      </c>
      <c r="H29" s="40" t="s">
        <v>153</v>
      </c>
      <c r="I29" s="40" t="s">
        <v>154</v>
      </c>
      <c r="J29" s="40" t="s">
        <v>155</v>
      </c>
    </row>
    <row r="30" spans="2:12" x14ac:dyDescent="0.2">
      <c r="B30" s="42">
        <v>44013</v>
      </c>
      <c r="C30" s="39">
        <f>SUMIFS('拌客源数据1-8月'!J:J,'拌客源数据1-8月'!A:A,'常用函数-完成版'!B30,'拌客源数据1-8月'!H:H,"美团")</f>
        <v>1008.28</v>
      </c>
      <c r="D30" s="51">
        <f>SUMIFS('拌客源数据1-8月'!J:J,'拌客源数据1-8月'!A:A,'常用函数-完成版'!B30,'拌客源数据1-8月'!H:H,"美团")/SUMIFS('拌客源数据1-8月'!J:J,'拌客源数据1-8月'!A:A,'常用函数-完成版'!B30-1,'拌客源数据1-8月'!H:H,"美团")-1</f>
        <v>8.2182224082600674E-2</v>
      </c>
      <c r="E30" s="51">
        <f>SUMIFS('拌客源数据1-8月'!J:J,'拌客源数据1-8月'!A:A,'常用函数-完成版'!B30,'拌客源数据1-8月'!H:H,"美团")/SUMIFS('拌客源数据1-8月'!J:J,'拌客源数据1-8月'!A:A,DATE(YEAR(B30),MONTH(B30)-1,DAY(B30)),'拌客源数据1-8月'!H:H,"美团")-1</f>
        <v>-0.10886031198904067</v>
      </c>
      <c r="F30" s="43">
        <f>YEAR(B30)</f>
        <v>2020</v>
      </c>
      <c r="G30" s="43">
        <f>MONTH(B30)</f>
        <v>7</v>
      </c>
      <c r="H30" s="43">
        <f>DAY(B30)</f>
        <v>1</v>
      </c>
      <c r="I30" s="1">
        <f>DATE(YEAR(B30),MONTH(B30)-1,DAY(B30))</f>
        <v>43983</v>
      </c>
      <c r="J30">
        <f>SUMIFS('拌客源数据1-8月'!J:J,'拌客源数据1-8月'!A:A,DATE(YEAR(B30),MONTH(B30)-1,DAY(B30)),'拌客源数据1-8月'!H:H,"美团")</f>
        <v>1131.45</v>
      </c>
      <c r="K30" s="1"/>
      <c r="L30" s="50"/>
    </row>
    <row r="31" spans="2:12" x14ac:dyDescent="0.2">
      <c r="B31" s="42">
        <v>44014</v>
      </c>
      <c r="C31" s="39">
        <f>SUMIFS('拌客源数据1-8月'!J:J,'拌客源数据1-8月'!A:A,'常用函数-完成版'!B31,'拌客源数据1-8月'!H:H,"美团")</f>
        <v>1023.39</v>
      </c>
      <c r="D31" s="51">
        <f>SUMIFS('拌客源数据1-8月'!J:J,'拌客源数据1-8月'!A:A,'常用函数-完成版'!B31,'拌客源数据1-8月'!H:H,"美团")/SUMIFS('拌客源数据1-8月'!J:J,'拌客源数据1-8月'!A:A,'常用函数-完成版'!B31-1,'拌客源数据1-8月'!H:H,"美团")-1</f>
        <v>1.4985916610465333E-2</v>
      </c>
      <c r="E31" s="51">
        <f>SUMIFS('拌客源数据1-8月'!J:J,'拌客源数据1-8月'!A:A,'常用函数-完成版'!B31,'拌客源数据1-8月'!H:H,"美团")/SUMIFS('拌客源数据1-8月'!J:J,'拌客源数据1-8月'!A:A,DATE(YEAR(B31),MONTH(B31)-1,DAY(B31)),'拌客源数据1-8月'!H:H,"美团")-1</f>
        <v>0.21923585546302582</v>
      </c>
      <c r="F31" s="43">
        <f t="shared" ref="F31:F36" si="0">YEAR(B31)</f>
        <v>2020</v>
      </c>
      <c r="G31" s="43">
        <f t="shared" ref="G31:G36" si="1">MONTH(B31)</f>
        <v>7</v>
      </c>
      <c r="H31" s="43">
        <f t="shared" ref="H31:H36" si="2">DAY(B31)</f>
        <v>2</v>
      </c>
      <c r="I31" s="1">
        <f t="shared" ref="I31:I36" si="3">DATE(YEAR(B31),MONTH(B31)-1,DAY(B31))</f>
        <v>43984</v>
      </c>
      <c r="J31">
        <f>SUMIFS('拌客源数据1-8月'!J:J,'拌客源数据1-8月'!A:A,DATE(YEAR(B31),MONTH(B31)-1,DAY(B31)),'拌客源数据1-8月'!H:H,"美团")</f>
        <v>839.37</v>
      </c>
    </row>
    <row r="32" spans="2:12" x14ac:dyDescent="0.2">
      <c r="B32" s="42">
        <v>44015</v>
      </c>
      <c r="C32" s="39">
        <f>SUMIFS('拌客源数据1-8月'!J:J,'拌客源数据1-8月'!A:A,'常用函数-完成版'!B32,'拌客源数据1-8月'!H:H,"美团")</f>
        <v>999.86</v>
      </c>
      <c r="D32" s="51">
        <f>SUMIFS('拌客源数据1-8月'!J:J,'拌客源数据1-8月'!A:A,'常用函数-完成版'!B32,'拌客源数据1-8月'!H:H,"美团")/SUMIFS('拌客源数据1-8月'!J:J,'拌客源数据1-8月'!A:A,'常用函数-完成版'!B32-1,'拌客源数据1-8月'!H:H,"美团")-1</f>
        <v>-2.2992212157632919E-2</v>
      </c>
      <c r="E32" s="51">
        <f>SUMIFS('拌客源数据1-8月'!J:J,'拌客源数据1-8月'!A:A,'常用函数-完成版'!B32,'拌客源数据1-8月'!H:H,"美团")/SUMIFS('拌客源数据1-8月'!J:J,'拌客源数据1-8月'!A:A,DATE(YEAR(B32),MONTH(B32)-1,DAY(B32)),'拌客源数据1-8月'!H:H,"美团")-1</f>
        <v>-0.18069110187893822</v>
      </c>
      <c r="F32" s="43">
        <f t="shared" si="0"/>
        <v>2020</v>
      </c>
      <c r="G32" s="43">
        <f t="shared" si="1"/>
        <v>7</v>
      </c>
      <c r="H32" s="43">
        <f t="shared" si="2"/>
        <v>3</v>
      </c>
      <c r="I32" s="1">
        <f t="shared" si="3"/>
        <v>43985</v>
      </c>
      <c r="J32">
        <f>SUMIFS('拌客源数据1-8月'!J:J,'拌客源数据1-8月'!A:A,DATE(YEAR(B32),MONTH(B32)-1,DAY(B32)),'拌客源数据1-8月'!H:H,"美团")</f>
        <v>1220.3699999999999</v>
      </c>
    </row>
    <row r="33" spans="2:10" x14ac:dyDescent="0.2">
      <c r="B33" s="42">
        <v>44016</v>
      </c>
      <c r="C33" s="39">
        <f>SUMIFS('拌客源数据1-8月'!J:J,'拌客源数据1-8月'!A:A,'常用函数-完成版'!B33,'拌客源数据1-8月'!H:H,"美团")</f>
        <v>1144.82</v>
      </c>
      <c r="D33" s="51">
        <f>SUMIFS('拌客源数据1-8月'!J:J,'拌客源数据1-8月'!A:A,'常用函数-完成版'!B33,'拌客源数据1-8月'!H:H,"美团")/SUMIFS('拌客源数据1-8月'!J:J,'拌客源数据1-8月'!A:A,'常用函数-完成版'!B33-1,'拌客源数据1-8月'!H:H,"美团")-1</f>
        <v>0.14498029724161365</v>
      </c>
      <c r="E33" s="51">
        <f>SUMIFS('拌客源数据1-8月'!J:J,'拌客源数据1-8月'!A:A,'常用函数-完成版'!B33,'拌客源数据1-8月'!H:H,"美团")/SUMIFS('拌客源数据1-8月'!J:J,'拌客源数据1-8月'!A:A,DATE(YEAR(B33),MONTH(B33)-1,DAY(B33)),'拌客源数据1-8月'!H:H,"美团")-1</f>
        <v>-0.22352973093957507</v>
      </c>
      <c r="F33" s="43">
        <f t="shared" si="0"/>
        <v>2020</v>
      </c>
      <c r="G33" s="43">
        <f t="shared" si="1"/>
        <v>7</v>
      </c>
      <c r="H33" s="43">
        <f t="shared" si="2"/>
        <v>4</v>
      </c>
      <c r="I33" s="1">
        <f t="shared" si="3"/>
        <v>43986</v>
      </c>
      <c r="J33">
        <f>SUMIFS('拌客源数据1-8月'!J:J,'拌客源数据1-8月'!A:A,DATE(YEAR(B33),MONTH(B33)-1,DAY(B33)),'拌客源数据1-8月'!H:H,"美团")</f>
        <v>1474.39</v>
      </c>
    </row>
    <row r="34" spans="2:10" x14ac:dyDescent="0.2">
      <c r="B34" s="42">
        <v>44017</v>
      </c>
      <c r="C34" s="39">
        <f>SUMIFS('拌客源数据1-8月'!J:J,'拌客源数据1-8月'!A:A,'常用函数-完成版'!B34,'拌客源数据1-8月'!H:H,"美团")</f>
        <v>755.47</v>
      </c>
      <c r="D34" s="51">
        <f>SUMIFS('拌客源数据1-8月'!J:J,'拌客源数据1-8月'!A:A,'常用函数-完成版'!B34,'拌客源数据1-8月'!H:H,"美团")/SUMIFS('拌客源数据1-8月'!J:J,'拌客源数据1-8月'!A:A,'常用函数-完成版'!B34-1,'拌客源数据1-8月'!H:H,"美团")-1</f>
        <v>-0.34009713317377399</v>
      </c>
      <c r="E34" s="51">
        <f>SUMIFS('拌客源数据1-8月'!J:J,'拌客源数据1-8月'!A:A,'常用函数-完成版'!B34,'拌客源数据1-8月'!H:H,"美团")/SUMIFS('拌客源数据1-8月'!J:J,'拌客源数据1-8月'!A:A,DATE(YEAR(B34),MONTH(B34)-1,DAY(B34)),'拌客源数据1-8月'!H:H,"美团")-1</f>
        <v>-0.33924291986635635</v>
      </c>
      <c r="F34" s="43">
        <f t="shared" si="0"/>
        <v>2020</v>
      </c>
      <c r="G34" s="43">
        <f t="shared" si="1"/>
        <v>7</v>
      </c>
      <c r="H34" s="43">
        <f t="shared" si="2"/>
        <v>5</v>
      </c>
      <c r="I34" s="1">
        <f t="shared" si="3"/>
        <v>43987</v>
      </c>
      <c r="J34">
        <f>SUMIFS('拌客源数据1-8月'!J:J,'拌客源数据1-8月'!A:A,DATE(YEAR(B34),MONTH(B34)-1,DAY(B34)),'拌客源数据1-8月'!H:H,"美团")</f>
        <v>1143.3399999999999</v>
      </c>
    </row>
    <row r="35" spans="2:10" x14ac:dyDescent="0.2">
      <c r="B35" s="42">
        <v>44044</v>
      </c>
      <c r="C35" s="39">
        <f>SUMIFS('拌客源数据1-8月'!J:J,'拌客源数据1-8月'!A:A,'常用函数-完成版'!B35,'拌客源数据1-8月'!H:H,"美团")</f>
        <v>3387.1000000000004</v>
      </c>
      <c r="D35" s="51">
        <f>SUMIFS('拌客源数据1-8月'!J:J,'拌客源数据1-8月'!A:A,'常用函数-完成版'!B35,'拌客源数据1-8月'!H:H,"美团")/SUMIFS('拌客源数据1-8月'!J:J,'拌客源数据1-8月'!A:A,'常用函数-完成版'!B35-1,'拌客源数据1-8月'!H:H,"美团")-1</f>
        <v>-0.41335610328923089</v>
      </c>
      <c r="E35" s="51">
        <f>SUMIFS('拌客源数据1-8月'!J:J,'拌客源数据1-8月'!A:A,'常用函数-完成版'!B35,'拌客源数据1-8月'!H:H,"美团")/SUMIFS('拌客源数据1-8月'!J:J,'拌客源数据1-8月'!A:A,DATE(YEAR(B35),MONTH(B35)-1,DAY(B35)),'拌客源数据1-8月'!H:H,"美团")-1</f>
        <v>2.3592851192129176</v>
      </c>
      <c r="F35" s="43">
        <f t="shared" si="0"/>
        <v>2020</v>
      </c>
      <c r="G35" s="43">
        <f t="shared" si="1"/>
        <v>8</v>
      </c>
      <c r="H35" s="43">
        <f t="shared" si="2"/>
        <v>1</v>
      </c>
      <c r="I35" s="1">
        <f t="shared" si="3"/>
        <v>44013</v>
      </c>
      <c r="J35">
        <f>SUMIFS('拌客源数据1-8月'!J:J,'拌客源数据1-8月'!A:A,DATE(YEAR(B35),MONTH(B35)-1,DAY(B35)),'拌客源数据1-8月'!H:H,"美团")</f>
        <v>1008.28</v>
      </c>
    </row>
    <row r="36" spans="2:10" x14ac:dyDescent="0.2">
      <c r="B36" s="42">
        <v>44048</v>
      </c>
      <c r="C36" s="39">
        <f>SUMIFS('拌客源数据1-8月'!J:J,'拌客源数据1-8月'!A:A,'常用函数-完成版'!B36,'拌客源数据1-8月'!H:H,"美团")</f>
        <v>1817.37</v>
      </c>
      <c r="D36" s="51">
        <f>SUMIFS('拌客源数据1-8月'!J:J,'拌客源数据1-8月'!A:A,'常用函数-完成版'!B36,'拌客源数据1-8月'!H:H,"美团")/SUMIFS('拌客源数据1-8月'!J:J,'拌客源数据1-8月'!A:A,'常用函数-完成版'!B36-1,'拌客源数据1-8月'!H:H,"美团")-1</f>
        <v>0.12391465677179947</v>
      </c>
      <c r="E36" s="51">
        <f>SUMIFS('拌客源数据1-8月'!J:J,'拌客源数据1-8月'!A:A,'常用函数-完成版'!B36,'拌客源数据1-8月'!H:H,"美团")/SUMIFS('拌客源数据1-8月'!J:J,'拌客源数据1-8月'!A:A,DATE(YEAR(B36),MONTH(B36)-1,DAY(B36)),'拌客源数据1-8月'!H:H,"美团")-1</f>
        <v>1.4056150475862705</v>
      </c>
      <c r="F36" s="43">
        <f t="shared" si="0"/>
        <v>2020</v>
      </c>
      <c r="G36" s="43">
        <f t="shared" si="1"/>
        <v>8</v>
      </c>
      <c r="H36" s="43">
        <f t="shared" si="2"/>
        <v>5</v>
      </c>
      <c r="I36" s="1">
        <f t="shared" si="3"/>
        <v>44017</v>
      </c>
      <c r="J36">
        <f>SUMIFS('拌客源数据1-8月'!J:J,'拌客源数据1-8月'!A:A,DATE(YEAR(B36),MONTH(B36)-1,DAY(B36)),'拌客源数据1-8月'!H:H,"美团")</f>
        <v>755.47</v>
      </c>
    </row>
    <row r="37" spans="2:10" x14ac:dyDescent="0.2">
      <c r="F37" s="48"/>
    </row>
    <row r="38" spans="2:10" x14ac:dyDescent="0.2">
      <c r="B38" s="38"/>
      <c r="C38" s="39" t="s">
        <v>134</v>
      </c>
      <c r="D38" s="39" t="s">
        <v>87</v>
      </c>
      <c r="E38" s="40" t="s">
        <v>156</v>
      </c>
      <c r="F38" s="40" t="s">
        <v>157</v>
      </c>
      <c r="G38" s="40" t="s">
        <v>158</v>
      </c>
    </row>
    <row r="39" spans="2:10" x14ac:dyDescent="0.2">
      <c r="B39" s="45">
        <v>43831</v>
      </c>
      <c r="C39" s="39">
        <f>SUMIFS('拌客源数据1-8月'!J:J,'拌客源数据1-8月'!H:H,"美团",'拌客源数据1-8月'!A:A,"&gt;="&amp;DATE(YEAR(B39),MONTH(B39),1),'拌客源数据1-8月'!A:A,"&lt;="&amp;(DATE(YEAR(B39),MONTH(B39)+1,1)-1))</f>
        <v>6787.9800000000005</v>
      </c>
      <c r="D39" s="52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1">
        <f>DATE(YEAR(B39),MONTH(B39),1)</f>
        <v>43831</v>
      </c>
      <c r="F39" s="1">
        <f>DATE(YEAR(B39),MONTH(B39),31)</f>
        <v>43861</v>
      </c>
      <c r="G39" s="1">
        <f>DATE(YEAR(B39),MONTH(B39)+1,1)-1</f>
        <v>43861</v>
      </c>
    </row>
    <row r="40" spans="2:10" x14ac:dyDescent="0.2">
      <c r="B40" s="45">
        <v>43862</v>
      </c>
      <c r="C40" s="39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52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-0.60538775895037999</v>
      </c>
      <c r="E40" s="1">
        <f t="shared" ref="E40:E46" si="4">DATE(YEAR(B40),MONTH(B40),1)</f>
        <v>43862</v>
      </c>
      <c r="F40" s="1">
        <f>DATE(YEAR(B40),MONTH(B40),31)</f>
        <v>43892</v>
      </c>
      <c r="G40" s="1">
        <f t="shared" ref="G40:G46" si="5">DATE(YEAR(B40),MONTH(B40)+1,1)-1</f>
        <v>43890</v>
      </c>
    </row>
    <row r="41" spans="2:10" x14ac:dyDescent="0.2">
      <c r="B41" s="45">
        <v>43891</v>
      </c>
      <c r="C41" s="39">
        <f>SUMIFS('拌客源数据1-8月'!J:J,'拌客源数据1-8月'!H:H,"美团",'拌客源数据1-8月'!A:A,"&gt;="&amp;DATE(YEAR(B41),MONTH(B41),1),'拌客源数据1-8月'!A:A,"&lt;="&amp;(DATE(YEAR(B41),MONTH(B41)+1,1)-1))</f>
        <v>24829.310000000009</v>
      </c>
      <c r="D41" s="52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8.2694409808035516</v>
      </c>
      <c r="E41" s="1">
        <f t="shared" si="4"/>
        <v>43891</v>
      </c>
      <c r="F41" s="1">
        <f t="shared" ref="F41:F46" si="6">DATE(YEAR(B41),MONTH(B41),31)</f>
        <v>43921</v>
      </c>
      <c r="G41" s="1">
        <f t="shared" si="5"/>
        <v>43921</v>
      </c>
    </row>
    <row r="42" spans="2:10" x14ac:dyDescent="0.2">
      <c r="B42" s="45">
        <v>43922</v>
      </c>
      <c r="C42" s="39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52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0.55860110490384085</v>
      </c>
      <c r="E42" s="1">
        <f t="shared" si="4"/>
        <v>43922</v>
      </c>
      <c r="F42" s="1">
        <f t="shared" si="6"/>
        <v>43952</v>
      </c>
      <c r="G42" s="1">
        <f t="shared" si="5"/>
        <v>43951</v>
      </c>
    </row>
    <row r="43" spans="2:10" x14ac:dyDescent="0.2">
      <c r="B43" s="45">
        <v>43952</v>
      </c>
      <c r="C43" s="39">
        <f>SUMIFS('拌客源数据1-8月'!J:J,'拌客源数据1-8月'!H:H,"美团",'拌客源数据1-8月'!A:A,"&gt;="&amp;DATE(YEAR(B43),MONTH(B43),1),'拌客源数据1-8月'!A:A,"&lt;="&amp;(DATE(YEAR(B43),MONTH(B43)+1,1)-1))</f>
        <v>30397.779999999995</v>
      </c>
      <c r="D43" s="52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-0.21450714863617892</v>
      </c>
      <c r="E43" s="1">
        <f t="shared" si="4"/>
        <v>43952</v>
      </c>
      <c r="F43" s="1">
        <f t="shared" si="6"/>
        <v>43982</v>
      </c>
      <c r="G43" s="1">
        <f t="shared" si="5"/>
        <v>43982</v>
      </c>
    </row>
    <row r="44" spans="2:10" x14ac:dyDescent="0.2">
      <c r="B44" s="45">
        <v>43983</v>
      </c>
      <c r="C44" s="39">
        <f>SUMIFS('拌客源数据1-8月'!J:J,'拌客源数据1-8月'!H:H,"美团",'拌客源数据1-8月'!A:A,"&gt;="&amp;DATE(YEAR(B44),MONTH(B44),1),'拌客源数据1-8月'!A:A,"&lt;="&amp;(DATE(YEAR(B44),MONTH(B44)+1,1)-1))</f>
        <v>26037.540000000005</v>
      </c>
      <c r="D44" s="52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-0.14343942222096451</v>
      </c>
      <c r="E44" s="1">
        <f t="shared" si="4"/>
        <v>43983</v>
      </c>
      <c r="F44" s="1">
        <f t="shared" si="6"/>
        <v>44013</v>
      </c>
      <c r="G44" s="1">
        <f t="shared" si="5"/>
        <v>44012</v>
      </c>
    </row>
    <row r="45" spans="2:10" x14ac:dyDescent="0.2">
      <c r="B45" s="45">
        <v>44013</v>
      </c>
      <c r="C45" s="39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52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4.1097542240933658</v>
      </c>
      <c r="E45" s="1">
        <f t="shared" si="4"/>
        <v>44013</v>
      </c>
      <c r="F45" s="1">
        <f t="shared" si="6"/>
        <v>44043</v>
      </c>
      <c r="G45" s="1">
        <f t="shared" si="5"/>
        <v>44043</v>
      </c>
    </row>
    <row r="46" spans="2:10" x14ac:dyDescent="0.2">
      <c r="B46" s="45">
        <v>44044</v>
      </c>
      <c r="C46" s="39">
        <f>SUMIFS('拌客源数据1-8月'!J:J,'拌客源数据1-8月'!H:H,"美团",'拌客源数据1-8月'!A:A,"&gt;="&amp;DATE(YEAR(B46),MONTH(B46),1),'拌客源数据1-8月'!A:A,"&lt;="&amp;(DATE(YEAR(B46),MONTH(B46)+1,1)-1))</f>
        <v>42659.520000000004</v>
      </c>
      <c r="D46" s="52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-0.67936125276907289</v>
      </c>
      <c r="E46" s="1">
        <f t="shared" si="4"/>
        <v>44044</v>
      </c>
      <c r="F46" s="1">
        <f t="shared" si="6"/>
        <v>44074</v>
      </c>
      <c r="G46" s="1">
        <f t="shared" si="5"/>
        <v>44074</v>
      </c>
    </row>
    <row r="47" spans="2:10" x14ac:dyDescent="0.2">
      <c r="B47" s="46"/>
    </row>
    <row r="48" spans="2:10" x14ac:dyDescent="0.2">
      <c r="B48" s="46"/>
    </row>
    <row r="49" spans="2:5" x14ac:dyDescent="0.2">
      <c r="B49" s="46"/>
    </row>
    <row r="52" spans="2:5" x14ac:dyDescent="0.2">
      <c r="B52" t="s">
        <v>81</v>
      </c>
    </row>
    <row r="54" spans="2:5" x14ac:dyDescent="0.2">
      <c r="B54" s="38"/>
      <c r="C54" s="39" t="s">
        <v>88</v>
      </c>
      <c r="D54" s="39" t="s">
        <v>89</v>
      </c>
    </row>
    <row r="55" spans="2:5" x14ac:dyDescent="0.2">
      <c r="B55" s="39" t="s">
        <v>55</v>
      </c>
      <c r="C55" s="38">
        <f>SUM('拌客源数据1-8月'!J:J)</f>
        <v>1071473.2499999998</v>
      </c>
      <c r="D55" s="38">
        <f>SUBTOTAL(9,'拌客源数据1-8月'!J:J)</f>
        <v>1071473.2499999998</v>
      </c>
    </row>
    <row r="56" spans="2:5" x14ac:dyDescent="0.2">
      <c r="B56" s="40"/>
    </row>
    <row r="57" spans="2:5" x14ac:dyDescent="0.2">
      <c r="B57" s="40"/>
    </row>
    <row r="58" spans="2:5" x14ac:dyDescent="0.2">
      <c r="B58" s="40"/>
    </row>
    <row r="61" spans="2:5" x14ac:dyDescent="0.2">
      <c r="B61" t="s">
        <v>82</v>
      </c>
    </row>
    <row r="63" spans="2:5" x14ac:dyDescent="0.2">
      <c r="B63" s="39" t="s">
        <v>98</v>
      </c>
      <c r="C63" s="39" t="s">
        <v>55</v>
      </c>
      <c r="D63" s="39" t="s">
        <v>100</v>
      </c>
      <c r="E63" s="40"/>
    </row>
    <row r="64" spans="2:5" x14ac:dyDescent="0.2">
      <c r="B64" s="39" t="s">
        <v>90</v>
      </c>
      <c r="C64" s="39">
        <v>64233.369999999995</v>
      </c>
      <c r="D64" s="39" t="str">
        <f>IF(C64&gt;100000,"达标","不达标")</f>
        <v>不达标</v>
      </c>
      <c r="E64" s="40"/>
    </row>
    <row r="65" spans="2:11" x14ac:dyDescent="0.2">
      <c r="B65" s="39" t="s">
        <v>91</v>
      </c>
      <c r="C65" s="39">
        <v>32755.710000000006</v>
      </c>
      <c r="D65" s="39" t="str">
        <f t="shared" ref="D65:D71" si="7">IF(C65&gt;100000,"达标","不达标")</f>
        <v>不达标</v>
      </c>
      <c r="E65" s="40"/>
    </row>
    <row r="66" spans="2:11" x14ac:dyDescent="0.2">
      <c r="B66" s="39" t="s">
        <v>92</v>
      </c>
      <c r="C66" s="39">
        <v>78895.689999999988</v>
      </c>
      <c r="D66" s="39" t="str">
        <f t="shared" si="7"/>
        <v>不达标</v>
      </c>
      <c r="E66" s="40"/>
    </row>
    <row r="67" spans="2:11" x14ac:dyDescent="0.2">
      <c r="B67" s="39" t="s">
        <v>93</v>
      </c>
      <c r="C67" s="39">
        <v>108307.06999999999</v>
      </c>
      <c r="D67" s="39" t="str">
        <f t="shared" si="7"/>
        <v>达标</v>
      </c>
      <c r="E67" s="40"/>
    </row>
    <row r="68" spans="2:11" x14ac:dyDescent="0.2">
      <c r="B68" s="39" t="s">
        <v>94</v>
      </c>
      <c r="C68" s="39">
        <v>194276.97</v>
      </c>
      <c r="D68" s="39" t="str">
        <f t="shared" si="7"/>
        <v>达标</v>
      </c>
      <c r="E68" s="40"/>
    </row>
    <row r="69" spans="2:11" x14ac:dyDescent="0.2">
      <c r="B69" s="39" t="s">
        <v>95</v>
      </c>
      <c r="C69" s="39">
        <v>255727.79000000007</v>
      </c>
      <c r="D69" s="39" t="str">
        <f t="shared" si="7"/>
        <v>达标</v>
      </c>
      <c r="E69" s="40"/>
    </row>
    <row r="70" spans="2:11" x14ac:dyDescent="0.2">
      <c r="B70" s="39" t="s">
        <v>96</v>
      </c>
      <c r="C70" s="39">
        <v>255891.73</v>
      </c>
      <c r="D70" s="39" t="str">
        <f t="shared" si="7"/>
        <v>达标</v>
      </c>
      <c r="E70" s="40"/>
    </row>
    <row r="71" spans="2:11" x14ac:dyDescent="0.2">
      <c r="B71" s="39" t="s">
        <v>97</v>
      </c>
      <c r="C71" s="39">
        <v>81384.920000000013</v>
      </c>
      <c r="D71" s="39" t="str">
        <f t="shared" si="7"/>
        <v>不达标</v>
      </c>
      <c r="E71" s="40"/>
    </row>
    <row r="72" spans="2:11" x14ac:dyDescent="0.2">
      <c r="B72" s="40"/>
      <c r="C72" s="40"/>
      <c r="D72" s="40"/>
      <c r="E72" s="40"/>
    </row>
    <row r="73" spans="2:11" x14ac:dyDescent="0.2">
      <c r="B73" s="40"/>
      <c r="C73" s="40"/>
      <c r="D73" s="40"/>
      <c r="E73" s="40"/>
    </row>
    <row r="74" spans="2:11" x14ac:dyDescent="0.2">
      <c r="B74" s="40"/>
      <c r="C74" s="40"/>
      <c r="D74" s="40"/>
      <c r="E74" s="40"/>
    </row>
    <row r="77" spans="2:11" x14ac:dyDescent="0.2">
      <c r="B77" t="s">
        <v>101</v>
      </c>
    </row>
    <row r="78" spans="2:11" x14ac:dyDescent="0.2">
      <c r="I78" t="s">
        <v>109</v>
      </c>
    </row>
    <row r="79" spans="2:11" x14ac:dyDescent="0.2">
      <c r="B79" s="39" t="s">
        <v>98</v>
      </c>
      <c r="C79" s="39" t="s">
        <v>55</v>
      </c>
      <c r="D79" s="39" t="s">
        <v>99</v>
      </c>
      <c r="E79" s="38" t="s">
        <v>102</v>
      </c>
      <c r="I79" s="39" t="s">
        <v>106</v>
      </c>
      <c r="J79" s="39" t="s">
        <v>107</v>
      </c>
      <c r="K79" s="39" t="s">
        <v>108</v>
      </c>
    </row>
    <row r="80" spans="2:11" x14ac:dyDescent="0.2">
      <c r="B80" s="39" t="s">
        <v>90</v>
      </c>
      <c r="C80" s="39">
        <v>64233.369999999995</v>
      </c>
      <c r="D80" s="39">
        <v>3344.24</v>
      </c>
      <c r="E80" s="39" t="str">
        <f>IF(C80&gt;100000,IF(D80&lt;5000,"达标","不达标"),"不达标")</f>
        <v>不达标</v>
      </c>
      <c r="I80" s="39">
        <v>0</v>
      </c>
      <c r="J80" s="39">
        <v>0</v>
      </c>
      <c r="K80" s="39" t="str">
        <f>IF(I80=0,IF(J80=0,"AB都等于","A等于B不等于"),IF(J80=0,"A不等于B等于","AB都不等于"))</f>
        <v>AB都等于</v>
      </c>
    </row>
    <row r="81" spans="2:24" x14ac:dyDescent="0.2">
      <c r="B81" s="39" t="s">
        <v>91</v>
      </c>
      <c r="C81" s="39">
        <v>32755.710000000006</v>
      </c>
      <c r="D81" s="39">
        <v>902.87</v>
      </c>
      <c r="E81" s="39" t="str">
        <f t="shared" ref="E81:E87" si="8">IF(C81&gt;100000,IF(D81&lt;5000,"达标","不达标"),"不达标")</f>
        <v>不达标</v>
      </c>
      <c r="I81" s="39">
        <v>1</v>
      </c>
      <c r="J81" s="39">
        <v>0</v>
      </c>
      <c r="K81" s="39" t="str">
        <f>IF(I81=0,IF(J81=0,"AB都等于","A等于B不等于"),IF(J81=0,"A不等于B等于","AB都不等于"))</f>
        <v>A不等于B等于</v>
      </c>
    </row>
    <row r="82" spans="2:24" x14ac:dyDescent="0.2">
      <c r="B82" s="39" t="s">
        <v>92</v>
      </c>
      <c r="C82" s="39">
        <v>78895.689999999988</v>
      </c>
      <c r="D82" s="39">
        <v>2645.3200000000006</v>
      </c>
      <c r="E82" s="39" t="str">
        <f t="shared" si="8"/>
        <v>不达标</v>
      </c>
      <c r="I82" s="39">
        <v>1</v>
      </c>
      <c r="J82" s="39">
        <v>1</v>
      </c>
      <c r="K82" s="39" t="str">
        <f>IF(I82=0,IF(J82=0,"AB都等于","A等于B不等于"),IF(J82=0,"A不等于B等于","AB都不等于"))</f>
        <v>AB都不等于</v>
      </c>
    </row>
    <row r="83" spans="2:24" x14ac:dyDescent="0.2">
      <c r="B83" s="39" t="s">
        <v>93</v>
      </c>
      <c r="C83" s="39">
        <v>108307.06999999999</v>
      </c>
      <c r="D83" s="39">
        <v>4513.12</v>
      </c>
      <c r="E83" s="39" t="str">
        <f t="shared" si="8"/>
        <v>达标</v>
      </c>
      <c r="I83" s="39">
        <v>0</v>
      </c>
      <c r="J83" s="39">
        <v>1</v>
      </c>
      <c r="K83" s="39" t="str">
        <f>IF(I83=0,IF(J83=0,"AB都等于","A等于B不等于"),IF(J83=0,"A不等于B等于","AB都不等于"))</f>
        <v>A等于B不等于</v>
      </c>
    </row>
    <row r="84" spans="2:24" x14ac:dyDescent="0.2">
      <c r="B84" s="39" t="s">
        <v>94</v>
      </c>
      <c r="C84" s="39">
        <v>194276.97</v>
      </c>
      <c r="D84" s="39">
        <v>11804.4</v>
      </c>
      <c r="E84" s="39" t="str">
        <f t="shared" si="8"/>
        <v>不达标</v>
      </c>
    </row>
    <row r="85" spans="2:24" x14ac:dyDescent="0.2">
      <c r="B85" s="39" t="s">
        <v>95</v>
      </c>
      <c r="C85" s="39">
        <v>255727.79000000007</v>
      </c>
      <c r="D85" s="39">
        <v>8302.5300000000007</v>
      </c>
      <c r="E85" s="39" t="str">
        <f t="shared" si="8"/>
        <v>不达标</v>
      </c>
    </row>
    <row r="86" spans="2:24" x14ac:dyDescent="0.2">
      <c r="B86" s="39" t="s">
        <v>96</v>
      </c>
      <c r="C86" s="39">
        <v>255891.73</v>
      </c>
      <c r="D86" s="39">
        <v>13616.330000000004</v>
      </c>
      <c r="E86" s="39" t="str">
        <f t="shared" si="8"/>
        <v>不达标</v>
      </c>
    </row>
    <row r="87" spans="2:24" x14ac:dyDescent="0.2">
      <c r="B87" s="39" t="s">
        <v>97</v>
      </c>
      <c r="C87" s="39">
        <v>81384.920000000013</v>
      </c>
      <c r="D87" s="39">
        <v>3680.309999999999</v>
      </c>
      <c r="E87" s="39" t="str">
        <f t="shared" si="8"/>
        <v>不达标</v>
      </c>
    </row>
    <row r="88" spans="2:24" x14ac:dyDescent="0.2">
      <c r="B88" s="40"/>
      <c r="C88" s="40"/>
      <c r="D88" s="40"/>
    </row>
    <row r="89" spans="2:24" x14ac:dyDescent="0.2">
      <c r="B89" s="40"/>
      <c r="C89" s="40"/>
      <c r="D89" s="40"/>
    </row>
    <row r="90" spans="2:24" x14ac:dyDescent="0.2">
      <c r="B90" s="40"/>
      <c r="C90" s="40"/>
      <c r="D90" s="40"/>
    </row>
    <row r="93" spans="2:24" x14ac:dyDescent="0.2">
      <c r="B93" t="s">
        <v>105</v>
      </c>
      <c r="P93">
        <f>VLOOKUP(O96,O110:P117,2,FALSE)</f>
        <v>273854.58</v>
      </c>
    </row>
    <row r="94" spans="2:24" x14ac:dyDescent="0.2">
      <c r="F94" t="s">
        <v>121</v>
      </c>
      <c r="I94" t="s">
        <v>130</v>
      </c>
      <c r="S94" t="s">
        <v>118</v>
      </c>
    </row>
    <row r="95" spans="2:24" x14ac:dyDescent="0.2">
      <c r="B95" s="39" t="s">
        <v>103</v>
      </c>
      <c r="C95" s="39" t="s">
        <v>104</v>
      </c>
      <c r="D95" s="40"/>
      <c r="E95" s="40"/>
      <c r="F95" s="39" t="s">
        <v>122</v>
      </c>
      <c r="G95" s="39" t="s">
        <v>117</v>
      </c>
      <c r="I95" s="39" t="s">
        <v>124</v>
      </c>
      <c r="J95" s="39" t="s">
        <v>125</v>
      </c>
      <c r="O95" s="39" t="s">
        <v>103</v>
      </c>
      <c r="P95" s="39" t="s">
        <v>55</v>
      </c>
      <c r="Q95" s="40"/>
      <c r="R95" s="40"/>
      <c r="S95" s="39" t="s">
        <v>110</v>
      </c>
      <c r="T95" s="39" t="s">
        <v>113</v>
      </c>
      <c r="U95" s="39" t="s">
        <v>117</v>
      </c>
      <c r="W95" s="53" t="s">
        <v>135</v>
      </c>
      <c r="X95" t="s">
        <v>144</v>
      </c>
    </row>
    <row r="96" spans="2:24" x14ac:dyDescent="0.2">
      <c r="B96" s="47" t="s">
        <v>46</v>
      </c>
      <c r="C96" s="39" t="str">
        <f>VLOOKUP(B96,'拌客源数据1-8月'!D:E,2,FALSE)</f>
        <v>宝山店</v>
      </c>
      <c r="D96" s="40"/>
      <c r="E96" s="40"/>
      <c r="F96" s="39" t="s">
        <v>129</v>
      </c>
      <c r="G96" s="39">
        <v>1</v>
      </c>
      <c r="I96" s="39" t="s">
        <v>114</v>
      </c>
      <c r="J96" s="39">
        <f>VLOOKUP(I96&amp;"*",F96:G103,2,TRUE)</f>
        <v>1</v>
      </c>
      <c r="O96" s="47" t="s">
        <v>46</v>
      </c>
      <c r="P96" s="38">
        <f>VLOOKUP(O96,$O$109:$P$118,2,FALSE)</f>
        <v>273854.58</v>
      </c>
      <c r="S96" s="39" t="s">
        <v>106</v>
      </c>
      <c r="T96" s="39" t="s">
        <v>114</v>
      </c>
      <c r="U96" s="39">
        <v>1</v>
      </c>
      <c r="W96" s="49" t="s">
        <v>145</v>
      </c>
      <c r="X96">
        <v>19</v>
      </c>
    </row>
    <row r="97" spans="2:24" x14ac:dyDescent="0.2">
      <c r="B97" s="47" t="s">
        <v>47</v>
      </c>
      <c r="C97" s="39" t="str">
        <f>VLOOKUP(B97,'拌客源数据1-8月'!D:E,2,FALSE)</f>
        <v>五角场店</v>
      </c>
      <c r="D97" s="40"/>
      <c r="E97" s="40"/>
      <c r="F97" s="39" t="s">
        <v>127</v>
      </c>
      <c r="G97" s="39">
        <v>2</v>
      </c>
      <c r="O97" s="47" t="s">
        <v>47</v>
      </c>
      <c r="P97" s="38">
        <f t="shared" ref="P97:P103" si="9">VLOOKUP(O97,$O$109:$P$118,2,FALSE)</f>
        <v>16838.82</v>
      </c>
      <c r="S97" s="39" t="s">
        <v>106</v>
      </c>
      <c r="T97" s="39" t="s">
        <v>115</v>
      </c>
      <c r="U97" s="39">
        <v>2</v>
      </c>
      <c r="W97" s="54" t="s">
        <v>140</v>
      </c>
      <c r="X97">
        <v>1</v>
      </c>
    </row>
    <row r="98" spans="2:24" x14ac:dyDescent="0.2">
      <c r="B98" s="47" t="s">
        <v>44</v>
      </c>
      <c r="C98" s="39" t="str">
        <f>VLOOKUP(B98,'拌客源数据1-8月'!D:E,2,FALSE)</f>
        <v>龙阳广场店</v>
      </c>
      <c r="D98" s="40"/>
      <c r="E98" s="40"/>
      <c r="F98" s="39" t="s">
        <v>126</v>
      </c>
      <c r="G98" s="39">
        <v>3</v>
      </c>
      <c r="I98" t="s">
        <v>128</v>
      </c>
      <c r="O98" s="47" t="s">
        <v>44</v>
      </c>
      <c r="P98" s="38">
        <f t="shared" si="9"/>
        <v>6452.04</v>
      </c>
      <c r="S98" s="39" t="s">
        <v>107</v>
      </c>
      <c r="T98" s="39" t="s">
        <v>116</v>
      </c>
      <c r="U98" s="39">
        <v>3</v>
      </c>
      <c r="W98" s="54" t="s">
        <v>141</v>
      </c>
      <c r="X98">
        <v>5</v>
      </c>
    </row>
    <row r="99" spans="2:24" x14ac:dyDescent="0.2">
      <c r="B99" s="47" t="s">
        <v>45</v>
      </c>
      <c r="C99" s="39" t="str">
        <f>VLOOKUP(B99,'拌客源数据1-8月'!D:E,2,FALSE)</f>
        <v>五角场店</v>
      </c>
      <c r="D99" s="40"/>
      <c r="E99" s="40"/>
      <c r="F99" s="39" t="s">
        <v>138</v>
      </c>
      <c r="G99" s="39">
        <v>4</v>
      </c>
      <c r="I99" s="39" t="s">
        <v>115</v>
      </c>
      <c r="J99" s="39">
        <f>VLOOKUP(I99&amp;"??",F95:G103,2,FALSE)</f>
        <v>7</v>
      </c>
      <c r="O99" s="47" t="s">
        <v>45</v>
      </c>
      <c r="P99" s="38">
        <f t="shared" si="9"/>
        <v>60286.000000000022</v>
      </c>
      <c r="S99" s="39" t="s">
        <v>107</v>
      </c>
      <c r="T99" s="39" t="s">
        <v>116</v>
      </c>
      <c r="U99" s="39">
        <v>4</v>
      </c>
      <c r="W99" s="54" t="s">
        <v>142</v>
      </c>
      <c r="X99">
        <v>13</v>
      </c>
    </row>
    <row r="100" spans="2:24" x14ac:dyDescent="0.2">
      <c r="B100" s="47" t="s">
        <v>48</v>
      </c>
      <c r="C100" s="39" t="str">
        <f>VLOOKUP(B100,'拌客源数据1-8月'!D:E,2,FALSE)</f>
        <v>怒江路店</v>
      </c>
      <c r="D100" s="40"/>
      <c r="E100" s="40"/>
      <c r="F100" s="39" t="s">
        <v>139</v>
      </c>
      <c r="G100" s="39">
        <v>5</v>
      </c>
      <c r="O100" s="47" t="s">
        <v>48</v>
      </c>
      <c r="P100" s="38">
        <f t="shared" si="9"/>
        <v>4313.57</v>
      </c>
      <c r="S100" s="39" t="s">
        <v>107</v>
      </c>
      <c r="T100" s="39" t="s">
        <v>114</v>
      </c>
      <c r="U100" s="39">
        <v>5</v>
      </c>
      <c r="W100" s="49" t="s">
        <v>146</v>
      </c>
      <c r="X100">
        <v>10</v>
      </c>
    </row>
    <row r="101" spans="2:24" x14ac:dyDescent="0.2">
      <c r="B101" s="47" t="s">
        <v>49</v>
      </c>
      <c r="C101" s="39" t="str">
        <f>VLOOKUP(B101,'拌客源数据1-8月'!D:E,2,FALSE)</f>
        <v>宝山店</v>
      </c>
      <c r="D101" s="40"/>
      <c r="E101" s="40"/>
      <c r="F101" s="39" t="s">
        <v>119</v>
      </c>
      <c r="G101" s="39">
        <v>6</v>
      </c>
      <c r="O101" s="47" t="s">
        <v>49</v>
      </c>
      <c r="P101" s="38">
        <f t="shared" si="9"/>
        <v>169975.03999999998</v>
      </c>
      <c r="S101" s="39" t="s">
        <v>111</v>
      </c>
      <c r="T101" s="39" t="s">
        <v>114</v>
      </c>
      <c r="U101" s="39">
        <v>6</v>
      </c>
      <c r="W101" s="54" t="s">
        <v>140</v>
      </c>
      <c r="X101">
        <v>2</v>
      </c>
    </row>
    <row r="102" spans="2:24" x14ac:dyDescent="0.2">
      <c r="B102" s="47" t="s">
        <v>50</v>
      </c>
      <c r="C102" s="39" t="str">
        <f>VLOOKUP(B102,'拌客源数据1-8月'!D:E,2,FALSE)</f>
        <v>拌客干拌麻辣烫(武宁路店)</v>
      </c>
      <c r="D102" s="40"/>
      <c r="E102" s="40"/>
      <c r="F102" s="39" t="s">
        <v>120</v>
      </c>
      <c r="G102" s="39">
        <v>7</v>
      </c>
      <c r="O102" s="47" t="s">
        <v>50</v>
      </c>
      <c r="P102" s="38">
        <f t="shared" si="9"/>
        <v>425745.45999999996</v>
      </c>
      <c r="S102" s="39" t="s">
        <v>111</v>
      </c>
      <c r="T102" s="39" t="s">
        <v>114</v>
      </c>
      <c r="U102" s="39">
        <v>7</v>
      </c>
      <c r="W102" s="54" t="s">
        <v>143</v>
      </c>
      <c r="X102">
        <v>8</v>
      </c>
    </row>
    <row r="103" spans="2:24" x14ac:dyDescent="0.2">
      <c r="B103" s="47" t="s">
        <v>51</v>
      </c>
      <c r="C103" s="39" t="str">
        <f>VLOOKUP(B103,'拌客源数据1-8月'!D:E,2,FALSE)</f>
        <v>拌客干拌麻辣烫(武宁路店)</v>
      </c>
      <c r="D103" s="40"/>
      <c r="E103" s="40"/>
      <c r="F103" s="39" t="s">
        <v>123</v>
      </c>
      <c r="G103" s="39">
        <v>8</v>
      </c>
      <c r="O103" s="47" t="s">
        <v>51</v>
      </c>
      <c r="P103" s="38">
        <f t="shared" si="9"/>
        <v>114007.74</v>
      </c>
      <c r="S103" s="39" t="s">
        <v>112</v>
      </c>
      <c r="T103" s="39" t="s">
        <v>115</v>
      </c>
      <c r="U103" s="39">
        <v>8</v>
      </c>
      <c r="W103" s="49" t="s">
        <v>147</v>
      </c>
      <c r="X103">
        <v>7</v>
      </c>
    </row>
    <row r="104" spans="2:24" x14ac:dyDescent="0.2">
      <c r="B104" s="48"/>
      <c r="C104" s="40"/>
      <c r="D104" s="40"/>
      <c r="E104" s="40"/>
      <c r="F104" s="40"/>
      <c r="G104" s="40"/>
      <c r="O104" s="48"/>
      <c r="S104" s="40"/>
      <c r="T104" s="40"/>
      <c r="U104" s="40"/>
      <c r="W104" s="54" t="s">
        <v>141</v>
      </c>
      <c r="X104">
        <v>7</v>
      </c>
    </row>
    <row r="105" spans="2:24" x14ac:dyDescent="0.2">
      <c r="B105" s="48"/>
      <c r="C105" s="40"/>
      <c r="D105" s="40"/>
      <c r="E105" s="40"/>
      <c r="F105" s="40"/>
      <c r="G105" s="40"/>
      <c r="O105" s="48"/>
      <c r="S105" s="40"/>
      <c r="T105" s="40"/>
      <c r="U105" s="40"/>
      <c r="W105" s="49" t="s">
        <v>136</v>
      </c>
      <c r="X105">
        <v>36</v>
      </c>
    </row>
    <row r="106" spans="2:24" x14ac:dyDescent="0.2">
      <c r="B106" s="48"/>
      <c r="C106" s="40"/>
      <c r="D106" s="40"/>
      <c r="E106" s="40"/>
      <c r="F106" s="40"/>
      <c r="G106" s="40"/>
      <c r="O106" s="48"/>
    </row>
    <row r="109" spans="2:24" x14ac:dyDescent="0.2">
      <c r="B109" t="s">
        <v>133</v>
      </c>
      <c r="O109" s="53" t="s">
        <v>135</v>
      </c>
      <c r="P109" t="s">
        <v>137</v>
      </c>
    </row>
    <row r="110" spans="2:24" x14ac:dyDescent="0.2">
      <c r="O110" s="49" t="s">
        <v>45</v>
      </c>
      <c r="P110">
        <v>60286.000000000022</v>
      </c>
    </row>
    <row r="111" spans="2:24" x14ac:dyDescent="0.2">
      <c r="B111" s="108" t="s">
        <v>11</v>
      </c>
      <c r="C111" s="109"/>
      <c r="D111" s="39" t="s">
        <v>103</v>
      </c>
      <c r="E111" s="39" t="s">
        <v>131</v>
      </c>
      <c r="F111" s="39" t="s">
        <v>132</v>
      </c>
      <c r="G111" s="39" t="s">
        <v>104</v>
      </c>
      <c r="H111" s="39" t="s">
        <v>55</v>
      </c>
      <c r="I111" s="39" t="s">
        <v>74</v>
      </c>
      <c r="J111" s="39" t="s">
        <v>75</v>
      </c>
      <c r="K111" s="40"/>
      <c r="O111" s="49" t="s">
        <v>46</v>
      </c>
      <c r="P111">
        <v>273854.58</v>
      </c>
    </row>
    <row r="112" spans="2:24" x14ac:dyDescent="0.2">
      <c r="B112" s="60" t="s">
        <v>159</v>
      </c>
      <c r="C112" s="61"/>
      <c r="D112" s="39" t="str">
        <f>INDEX('拌客源数据1-8月'!$A:$I,MATCH($B112,'拌客源数据1-8月'!$I:$I,0),MATCH(D$111,'拌客源数据1-8月'!$A$1:$I$1,0))</f>
        <v>2001104355</v>
      </c>
      <c r="E112" s="39" t="str">
        <f>INDEX('拌客源数据1-8月'!$A:$I,MATCH('常用函数-完成版'!$B112,'拌客源数据1-8月'!$I:$I,0),MATCH('常用函数-完成版'!E$111,'拌客源数据1-8月'!$A$1:$I$1,0))</f>
        <v>蛙小辣火锅杯（总账号）</v>
      </c>
      <c r="F112" s="39">
        <f>INDEX('拌客源数据1-8月'!$A:$I,MATCH('常用函数-完成版'!$B112,'拌客源数据1-8月'!$I:$I,0),MATCH('常用函数-完成版'!F$111,'拌客源数据1-8月'!$A$1:$I$1,0))</f>
        <v>4636</v>
      </c>
      <c r="G112" s="39" t="str">
        <f>INDEX('拌客源数据1-8月'!$A:$I,MATCH('常用函数-完成版'!$B112,'拌客源数据1-8月'!$I:$I,0),MATCH('常用函数-完成版'!G$111,'拌客源数据1-8月'!$A$1:$I$1,0))</f>
        <v>宝山店</v>
      </c>
      <c r="H112" s="39">
        <f>SUMIFS(INDEX('拌客源数据1-8月'!$A:$X,0,MATCH('常用函数-完成版'!H$111,'拌客源数据1-8月'!$A$1:$X$1,0)),'拌客源数据1-8月'!$I:$I,'常用函数-完成版'!$B112)</f>
        <v>116343.26000000004</v>
      </c>
      <c r="I112" s="39">
        <f>SUMIFS(INDEX('拌客源数据1-8月'!$A:$X,0,MATCH('常用函数-完成版'!I$111,'拌客源数据1-8月'!$A$1:$X$1,0)),'拌客源数据1-8月'!$I:$I,'常用函数-完成版'!$B112)</f>
        <v>11204</v>
      </c>
      <c r="J112" s="39">
        <f>SUMIFS(INDEX('拌客源数据1-8月'!$A:$X,0,MATCH('常用函数-完成版'!J$111,'拌客源数据1-8月'!$A$1:$X$1,0)),'拌客源数据1-8月'!$I:$I,'常用函数-完成版'!$B112)</f>
        <v>1646</v>
      </c>
      <c r="O112" s="49" t="s">
        <v>44</v>
      </c>
      <c r="P112">
        <v>6452.04</v>
      </c>
    </row>
    <row r="113" spans="2:16" x14ac:dyDescent="0.2">
      <c r="B113" s="60" t="s">
        <v>23</v>
      </c>
      <c r="C113" s="61"/>
      <c r="D113" s="39" t="str">
        <f>INDEX('拌客源数据1-8月'!$A:$I,MATCH($B113,'拌客源数据1-8月'!$I:$I,0),MATCH(D$111,'拌客源数据1-8月'!$A$1:$I$1,0))</f>
        <v>8184590</v>
      </c>
      <c r="E113" s="39" t="str">
        <f>INDEX('拌客源数据1-8月'!$A:$I,MATCH('常用函数-完成版'!$B113,'拌客源数据1-8月'!$I:$I,0),MATCH('常用函数-完成版'!E$111,'拌客源数据1-8月'!$A$1:$I$1,0))</f>
        <v>蛙小辣火锅杯（总账号）</v>
      </c>
      <c r="F113" s="39">
        <f>INDEX('拌客源数据1-8月'!$A:$I,MATCH('常用函数-完成版'!$B113,'拌客源数据1-8月'!$I:$I,0),MATCH('常用函数-完成版'!F$111,'拌客源数据1-8月'!$A$1:$I$1,0))</f>
        <v>4636</v>
      </c>
      <c r="G113" s="39" t="str">
        <f>INDEX('拌客源数据1-8月'!$A:$I,MATCH('常用函数-完成版'!$B113,'拌客源数据1-8月'!$I:$I,0),MATCH('常用函数-完成版'!G$111,'拌客源数据1-8月'!$A$1:$I$1,0))</f>
        <v>五角场店</v>
      </c>
      <c r="H113" s="39">
        <f>SUMIFS(INDEX('拌客源数据1-8月'!$A:$X,0,MATCH('常用函数-完成版'!H$111,'拌客源数据1-8月'!$A$1:$X$1,0)),'拌客源数据1-8月'!$I:$I,'常用函数-完成版'!$B113)</f>
        <v>6787.9800000000005</v>
      </c>
      <c r="I113" s="39">
        <f>SUMIFS(INDEX('拌客源数据1-8月'!$A:$X,0,MATCH('常用函数-完成版'!I$111,'拌客源数据1-8月'!$A$1:$X$1,0)),'拌客源数据1-8月'!$I:$I,'常用函数-完成版'!$B113)</f>
        <v>775</v>
      </c>
      <c r="J113" s="39">
        <f>SUMIFS(INDEX('拌客源数据1-8月'!$A:$X,0,MATCH('常用函数-完成版'!J$111,'拌客源数据1-8月'!$A$1:$X$1,0)),'拌客源数据1-8月'!$I:$I,'常用函数-完成版'!$B113)</f>
        <v>113</v>
      </c>
      <c r="O113" s="49" t="s">
        <v>50</v>
      </c>
      <c r="P113">
        <v>425745.45999999996</v>
      </c>
    </row>
    <row r="114" spans="2:16" x14ac:dyDescent="0.2">
      <c r="B114" s="60" t="s">
        <v>32</v>
      </c>
      <c r="C114" s="61"/>
      <c r="D114" s="39" t="str">
        <f>INDEX('拌客源数据1-8月'!$A:$I,MATCH($B114,'拌客源数据1-8月'!$I:$I,0),MATCH(D$111,'拌客源数据1-8月'!$A$1:$I$1,0))</f>
        <v>305225345</v>
      </c>
      <c r="E114" s="39" t="str">
        <f>INDEX('拌客源数据1-8月'!$A:$I,MATCH('常用函数-完成版'!$B114,'拌客源数据1-8月'!$I:$I,0),MATCH('常用函数-完成版'!E$111,'拌客源数据1-8月'!$A$1:$I$1,0))</f>
        <v>蛙小辣火锅杯（总账号）</v>
      </c>
      <c r="F114" s="39">
        <f>INDEX('拌客源数据1-8月'!$A:$I,MATCH('常用函数-完成版'!$B114,'拌客源数据1-8月'!$I:$I,0),MATCH('常用函数-完成版'!F$111,'拌客源数据1-8月'!$A$1:$I$1,0))</f>
        <v>4636</v>
      </c>
      <c r="G114" s="39" t="str">
        <f>INDEX('拌客源数据1-8月'!$A:$I,MATCH('常用函数-完成版'!$B114,'拌客源数据1-8月'!$I:$I,0),MATCH('常用函数-完成版'!G$111,'拌客源数据1-8月'!$A$1:$I$1,0))</f>
        <v>龙阳广场店</v>
      </c>
      <c r="H114" s="39">
        <f>SUMIFS(INDEX('拌客源数据1-8月'!$A:$X,0,MATCH('常用函数-完成版'!H$111,'拌客源数据1-8月'!$A$1:$X$1,0)),'拌客源数据1-8月'!$I:$I,'常用函数-完成版'!$B114)</f>
        <v>6452.04</v>
      </c>
      <c r="I114" s="39">
        <f>SUMIFS(INDEX('拌客源数据1-8月'!$A:$X,0,MATCH('常用函数-完成版'!I$111,'拌客源数据1-8月'!$A$1:$X$1,0)),'拌客源数据1-8月'!$I:$I,'常用函数-完成版'!$B114)</f>
        <v>590</v>
      </c>
      <c r="J114" s="39">
        <f>SUMIFS(INDEX('拌客源数据1-8月'!$A:$X,0,MATCH('常用函数-完成版'!J$111,'拌客源数据1-8月'!$A$1:$X$1,0)),'拌客源数据1-8月'!$I:$I,'常用函数-完成版'!$B114)</f>
        <v>108</v>
      </c>
      <c r="O114" s="49" t="s">
        <v>48</v>
      </c>
      <c r="P114">
        <v>4313.57</v>
      </c>
    </row>
    <row r="115" spans="2:16" x14ac:dyDescent="0.2">
      <c r="B115" s="60" t="s">
        <v>30</v>
      </c>
      <c r="C115" s="61"/>
      <c r="D115" s="39" t="str">
        <f>INDEX('拌客源数据1-8月'!$A:$I,MATCH($B115,'拌客源数据1-8月'!$I:$I,0),MATCH(D$111,'拌客源数据1-8月'!$A$1:$I$1,0))</f>
        <v>2000507076</v>
      </c>
      <c r="E115" s="39" t="str">
        <f>INDEX('拌客源数据1-8月'!$A:$I,MATCH('常用函数-完成版'!$B115,'拌客源数据1-8月'!$I:$I,0),MATCH('常用函数-完成版'!E$111,'拌客源数据1-8月'!$A$1:$I$1,0))</f>
        <v>蛙小辣火锅杯（总账号）</v>
      </c>
      <c r="F115" s="39">
        <f>INDEX('拌客源数据1-8月'!$A:$I,MATCH('常用函数-完成版'!$B115,'拌客源数据1-8月'!$I:$I,0),MATCH('常用函数-完成版'!F$111,'拌客源数据1-8月'!$A$1:$I$1,0))</f>
        <v>4636</v>
      </c>
      <c r="G115" s="39" t="str">
        <f>INDEX('拌客源数据1-8月'!$A:$I,MATCH('常用函数-完成版'!$B115,'拌客源数据1-8月'!$I:$I,0),MATCH('常用函数-完成版'!G$111,'拌客源数据1-8月'!$A$1:$I$1,0))</f>
        <v>五角场店</v>
      </c>
      <c r="H115" s="39">
        <f>SUMIFS(INDEX('拌客源数据1-8月'!$A:$X,0,MATCH('常用函数-完成版'!H$111,'拌客源数据1-8月'!$A$1:$X$1,0)),'拌客源数据1-8月'!$I:$I,'常用函数-完成版'!$B115)</f>
        <v>33744.82</v>
      </c>
      <c r="I115" s="39">
        <f>SUMIFS(INDEX('拌客源数据1-8月'!$A:$X,0,MATCH('常用函数-完成版'!I$111,'拌客源数据1-8月'!$A$1:$X$1,0)),'拌客源数据1-8月'!$I:$I,'常用函数-完成版'!$B115)</f>
        <v>2490</v>
      </c>
      <c r="J115" s="39">
        <f>SUMIFS(INDEX('拌客源数据1-8月'!$A:$X,0,MATCH('常用函数-完成版'!J$111,'拌客源数据1-8月'!$A$1:$X$1,0)),'拌客源数据1-8月'!$I:$I,'常用函数-完成版'!$B115)</f>
        <v>512</v>
      </c>
      <c r="O115" s="49" t="s">
        <v>47</v>
      </c>
      <c r="P115">
        <v>16838.82</v>
      </c>
    </row>
    <row r="116" spans="2:16" x14ac:dyDescent="0.2">
      <c r="B116" s="60" t="s">
        <v>25</v>
      </c>
      <c r="C116" s="61"/>
      <c r="D116" s="39" t="str">
        <f>INDEX('拌客源数据1-8月'!$A:$I,MATCH($B116,'拌客源数据1-8月'!$I:$I,0),MATCH(D$111,'拌客源数据1-8月'!$A$1:$I$1,0))</f>
        <v>8106681</v>
      </c>
      <c r="E116" s="39" t="str">
        <f>INDEX('拌客源数据1-8月'!$A:$I,MATCH('常用函数-完成版'!$B116,'拌客源数据1-8月'!$I:$I,0),MATCH('常用函数-完成版'!E$111,'拌客源数据1-8月'!$A$1:$I$1,0))</f>
        <v>蛙小辣火锅杯（总账号）</v>
      </c>
      <c r="F116" s="39">
        <f>INDEX('拌客源数据1-8月'!$A:$I,MATCH('常用函数-完成版'!$B116,'拌客源数据1-8月'!$I:$I,0),MATCH('常用函数-完成版'!F$111,'拌客源数据1-8月'!$A$1:$I$1,0))</f>
        <v>4636</v>
      </c>
      <c r="G116" s="39" t="str">
        <f>INDEX('拌客源数据1-8月'!$A:$I,MATCH('常用函数-完成版'!$B116,'拌客源数据1-8月'!$I:$I,0),MATCH('常用函数-完成版'!G$111,'拌客源数据1-8月'!$A$1:$I$1,0))</f>
        <v>怒江路店</v>
      </c>
      <c r="H116" s="39">
        <f>SUMIFS(INDEX('拌客源数据1-8月'!$A:$X,0,MATCH('常用函数-完成版'!H$111,'拌客源数据1-8月'!$A$1:$X$1,0)),'拌客源数据1-8月'!$I:$I,'常用函数-完成版'!$B116)</f>
        <v>4313.57</v>
      </c>
      <c r="I116" s="39">
        <f>SUMIFS(INDEX('拌客源数据1-8月'!$A:$X,0,MATCH('常用函数-完成版'!I$111,'拌客源数据1-8月'!$A$1:$X$1,0)),'拌客源数据1-8月'!$I:$I,'常用函数-完成版'!$B116)</f>
        <v>367</v>
      </c>
      <c r="J116" s="39">
        <f>SUMIFS(INDEX('拌客源数据1-8月'!$A:$X,0,MATCH('常用函数-完成版'!J$111,'拌客源数据1-8月'!$A$1:$X$1,0)),'拌客源数据1-8月'!$I:$I,'常用函数-完成版'!$B116)</f>
        <v>66</v>
      </c>
      <c r="O116" s="49" t="s">
        <v>49</v>
      </c>
      <c r="P116">
        <v>169975.03999999998</v>
      </c>
    </row>
    <row r="117" spans="2:16" x14ac:dyDescent="0.2">
      <c r="B117" s="60" t="s">
        <v>34</v>
      </c>
      <c r="C117" s="61"/>
      <c r="D117" s="39" t="str">
        <f>INDEX('拌客源数据1-8月'!$A:$I,MATCH($B117,'拌客源数据1-8月'!$I:$I,0),MATCH(D$111,'拌客源数据1-8月'!$A$1:$I$1,0))</f>
        <v>8491999</v>
      </c>
      <c r="E117" s="39" t="str">
        <f>INDEX('拌客源数据1-8月'!$A:$I,MATCH('常用函数-完成版'!$B117,'拌客源数据1-8月'!$I:$I,0),MATCH('常用函数-完成版'!E$111,'拌客源数据1-8月'!$A$1:$I$1,0))</f>
        <v>蛙小辣火锅杯（总账号）</v>
      </c>
      <c r="F117" s="39">
        <f>INDEX('拌客源数据1-8月'!$A:$I,MATCH('常用函数-完成版'!$B117,'拌客源数据1-8月'!$I:$I,0),MATCH('常用函数-完成版'!F$111,'拌客源数据1-8月'!$A$1:$I$1,0))</f>
        <v>4636</v>
      </c>
      <c r="G117" s="39" t="str">
        <f>INDEX('拌客源数据1-8月'!$A:$I,MATCH('常用函数-完成版'!$B117,'拌客源数据1-8月'!$I:$I,0),MATCH('常用函数-完成版'!G$111,'拌客源数据1-8月'!$A$1:$I$1,0))</f>
        <v>宝山店</v>
      </c>
      <c r="H117" s="39">
        <f>SUMIFS(INDEX('拌客源数据1-8月'!$A:$X,0,MATCH('常用函数-完成版'!H$111,'拌客源数据1-8月'!$A$1:$X$1,0)),'拌客源数据1-8月'!$I:$I,'常用函数-完成版'!$B117)</f>
        <v>169975.03999999998</v>
      </c>
      <c r="I117" s="39">
        <f>SUMIFS(INDEX('拌客源数据1-8月'!$A:$X,0,MATCH('常用函数-完成版'!I$111,'拌客源数据1-8月'!$A$1:$X$1,0)),'拌客源数据1-8月'!$I:$I,'常用函数-完成版'!$B117)</f>
        <v>15813</v>
      </c>
      <c r="J117" s="39">
        <f>SUMIFS(INDEX('拌客源数据1-8月'!$A:$X,0,MATCH('常用函数-完成版'!J$111,'拌客源数据1-8月'!$A$1:$X$1,0)),'拌客源数据1-8月'!$I:$I,'常用函数-完成版'!$B117)</f>
        <v>2969</v>
      </c>
      <c r="O117" s="49" t="s">
        <v>51</v>
      </c>
      <c r="P117">
        <v>114007.74</v>
      </c>
    </row>
    <row r="118" spans="2:16" x14ac:dyDescent="0.2">
      <c r="B118" s="60" t="s">
        <v>33</v>
      </c>
      <c r="C118" s="61"/>
      <c r="D118" s="39" t="str">
        <f>INDEX('拌客源数据1-8月'!$A:$I,MATCH($B118,'拌客源数据1-8月'!$I:$I,0),MATCH(D$111,'拌客源数据1-8月'!$A$1:$I$1,0))</f>
        <v>8184590</v>
      </c>
      <c r="E118" s="39" t="str">
        <f>INDEX('拌客源数据1-8月'!$A:$I,MATCH('常用函数-完成版'!$B118,'拌客源数据1-8月'!$I:$I,0),MATCH('常用函数-完成版'!E$111,'拌客源数据1-8月'!$A$1:$I$1,0))</f>
        <v>蛙小辣火锅杯（总账号）</v>
      </c>
      <c r="F118" s="39">
        <f>INDEX('拌客源数据1-8月'!$A:$I,MATCH('常用函数-完成版'!$B118,'拌客源数据1-8月'!$I:$I,0),MATCH('常用函数-完成版'!F$111,'拌客源数据1-8月'!$A$1:$I$1,0))</f>
        <v>4636</v>
      </c>
      <c r="G118" s="39" t="str">
        <f>INDEX('拌客源数据1-8月'!$A:$I,MATCH('常用函数-完成版'!$B118,'拌客源数据1-8月'!$I:$I,0),MATCH('常用函数-完成版'!G$111,'拌客源数据1-8月'!$A$1:$I$1,0))</f>
        <v>五角场店</v>
      </c>
      <c r="H118" s="39">
        <f>SUMIFS(INDEX('拌客源数据1-8月'!$A:$X,0,MATCH('常用函数-完成版'!H$111,'拌客源数据1-8月'!$A$1:$X$1,0)),'拌客源数据1-8月'!$I:$I,'常用函数-完成版'!$B118)</f>
        <v>9368.7099999999973</v>
      </c>
      <c r="I118" s="39">
        <f>SUMIFS(INDEX('拌客源数据1-8月'!$A:$X,0,MATCH('常用函数-完成版'!I$111,'拌客源数据1-8月'!$A$1:$X$1,0)),'拌客源数据1-8月'!$I:$I,'常用函数-完成版'!$B118)</f>
        <v>791</v>
      </c>
      <c r="J118" s="39">
        <f>SUMIFS(INDEX('拌客源数据1-8月'!$A:$X,0,MATCH('常用函数-完成版'!J$111,'拌客源数据1-8月'!$A$1:$X$1,0)),'拌客源数据1-8月'!$I:$I,'常用函数-完成版'!$B118)</f>
        <v>154</v>
      </c>
      <c r="O118" s="49" t="s">
        <v>136</v>
      </c>
      <c r="P118">
        <v>1071473.2499999998</v>
      </c>
    </row>
    <row r="119" spans="2:16" x14ac:dyDescent="0.2">
      <c r="B119" s="60" t="s">
        <v>35</v>
      </c>
      <c r="C119" s="61"/>
      <c r="D119" s="39" t="str">
        <f>INDEX('拌客源数据1-8月'!$A:$I,MATCH($B119,'拌客源数据1-8月'!$I:$I,0),MATCH(D$111,'拌客源数据1-8月'!$A$1:$I$1,0))</f>
        <v>2000507076</v>
      </c>
      <c r="E119" s="39" t="str">
        <f>INDEX('拌客源数据1-8月'!$A:$I,MATCH('常用函数-完成版'!$B119,'拌客源数据1-8月'!$I:$I,0),MATCH('常用函数-完成版'!E$111,'拌客源数据1-8月'!$A$1:$I$1,0))</f>
        <v>蛙小辣火锅杯（总账号）</v>
      </c>
      <c r="F119" s="39">
        <f>INDEX('拌客源数据1-8月'!$A:$I,MATCH('常用函数-完成版'!$B119,'拌客源数据1-8月'!$I:$I,0),MATCH('常用函数-完成版'!F$111,'拌客源数据1-8月'!$A$1:$I$1,0))</f>
        <v>4636</v>
      </c>
      <c r="G119" s="39" t="str">
        <f>INDEX('拌客源数据1-8月'!$A:$I,MATCH('常用函数-完成版'!$B119,'拌客源数据1-8月'!$I:$I,0),MATCH('常用函数-完成版'!G$111,'拌客源数据1-8月'!$A$1:$I$1,0))</f>
        <v>五角场店</v>
      </c>
      <c r="H119" s="39">
        <f>SUMIFS(INDEX('拌客源数据1-8月'!$A:$X,0,MATCH('常用函数-完成版'!H$111,'拌客源数据1-8月'!$A$1:$X$1,0)),'拌客源数据1-8月'!$I:$I,'常用函数-完成版'!$B119)</f>
        <v>784.71</v>
      </c>
      <c r="I119" s="39">
        <f>SUMIFS(INDEX('拌客源数据1-8月'!$A:$X,0,MATCH('常用函数-完成版'!I$111,'拌客源数据1-8月'!$A$1:$X$1,0)),'拌客源数据1-8月'!$I:$I,'常用函数-完成版'!$B119)</f>
        <v>48</v>
      </c>
      <c r="J119" s="39">
        <f>SUMIFS(INDEX('拌客源数据1-8月'!$A:$X,0,MATCH('常用函数-完成版'!J$111,'拌客源数据1-8月'!$A$1:$X$1,0)),'拌客源数据1-8月'!$I:$I,'常用函数-完成版'!$B119)</f>
        <v>11</v>
      </c>
    </row>
    <row r="120" spans="2:16" x14ac:dyDescent="0.2">
      <c r="B120" s="60" t="s">
        <v>36</v>
      </c>
      <c r="C120" s="61"/>
      <c r="D120" s="39" t="str">
        <f>INDEX('拌客源数据1-8月'!$A:$I,MATCH($B120,'拌客源数据1-8月'!$I:$I,0),MATCH(D$111,'拌客源数据1-8月'!$A$1:$I$1,0))</f>
        <v>2000507076</v>
      </c>
      <c r="E120" s="39" t="str">
        <f>INDEX('拌客源数据1-8月'!$A:$I,MATCH('常用函数-完成版'!$B120,'拌客源数据1-8月'!$I:$I,0),MATCH('常用函数-完成版'!E$111,'拌客源数据1-8月'!$A$1:$I$1,0))</f>
        <v>蛙小辣火锅杯（总账号）</v>
      </c>
      <c r="F120" s="39">
        <f>INDEX('拌客源数据1-8月'!$A:$I,MATCH('常用函数-完成版'!$B120,'拌客源数据1-8月'!$I:$I,0),MATCH('常用函数-完成版'!F$111,'拌客源数据1-8月'!$A$1:$I$1,0))</f>
        <v>4636</v>
      </c>
      <c r="G120" s="39" t="str">
        <f>INDEX('拌客源数据1-8月'!$A:$I,MATCH('常用函数-完成版'!$B120,'拌客源数据1-8月'!$I:$I,0),MATCH('常用函数-完成版'!G$111,'拌客源数据1-8月'!$A$1:$I$1,0))</f>
        <v>五角场店</v>
      </c>
      <c r="H120" s="39">
        <f>SUMIFS(INDEX('拌客源数据1-8月'!$A:$X,0,MATCH('常用函数-完成版'!H$111,'拌客源数据1-8月'!$A$1:$X$1,0)),'拌客源数据1-8月'!$I:$I,'常用函数-完成版'!$B120)</f>
        <v>11932.99</v>
      </c>
      <c r="I120" s="39">
        <f>SUMIFS(INDEX('拌客源数据1-8月'!$A:$X,0,MATCH('常用函数-完成版'!I$111,'拌客源数据1-8月'!$A$1:$X$1,0)),'拌客源数据1-8月'!$I:$I,'常用函数-完成版'!$B120)</f>
        <v>699</v>
      </c>
      <c r="J120" s="39">
        <f>SUMIFS(INDEX('拌客源数据1-8月'!$A:$X,0,MATCH('常用函数-完成版'!J$111,'拌客源数据1-8月'!$A$1:$X$1,0)),'拌客源数据1-8月'!$I:$I,'常用函数-完成版'!$B120)</f>
        <v>167</v>
      </c>
    </row>
    <row r="121" spans="2:16" x14ac:dyDescent="0.2">
      <c r="B121" s="60" t="s">
        <v>37</v>
      </c>
      <c r="C121" s="61"/>
      <c r="D121" s="39" t="str">
        <f>INDEX('拌客源数据1-8月'!$A:$I,MATCH($B121,'拌客源数据1-8月'!$I:$I,0),MATCH(D$111,'拌客源数据1-8月'!$A$1:$I$1,0))</f>
        <v>2001104355</v>
      </c>
      <c r="E121" s="39" t="str">
        <f>INDEX('拌客源数据1-8月'!$A:$I,MATCH('常用函数-完成版'!$B121,'拌客源数据1-8月'!$I:$I,0),MATCH('常用函数-完成版'!E$111,'拌客源数据1-8月'!$A$1:$I$1,0))</f>
        <v>蛙小辣火锅杯（总账号）</v>
      </c>
      <c r="F121" s="39">
        <f>INDEX('拌客源数据1-8月'!$A:$I,MATCH('常用函数-完成版'!$B121,'拌客源数据1-8月'!$I:$I,0),MATCH('常用函数-完成版'!F$111,'拌客源数据1-8月'!$A$1:$I$1,0))</f>
        <v>4636</v>
      </c>
      <c r="G121" s="39" t="str">
        <f>INDEX('拌客源数据1-8月'!$A:$I,MATCH('常用函数-完成版'!$B121,'拌客源数据1-8月'!$I:$I,0),MATCH('常用函数-完成版'!G$111,'拌客源数据1-8月'!$A$1:$I$1,0))</f>
        <v>宝山店</v>
      </c>
      <c r="H121" s="39">
        <f>SUMIFS(INDEX('拌客源数据1-8月'!$A:$X,0,MATCH('常用函数-完成版'!H$111,'拌客源数据1-8月'!$A$1:$X$1,0)),'拌客源数据1-8月'!$I:$I,'常用函数-完成版'!$B121)</f>
        <v>157511.31999999995</v>
      </c>
      <c r="I121" s="39">
        <f>SUMIFS(INDEX('拌客源数据1-8月'!$A:$X,0,MATCH('常用函数-完成版'!I$111,'拌客源数据1-8月'!$A$1:$X$1,0)),'拌客源数据1-8月'!$I:$I,'常用函数-完成版'!$B121)</f>
        <v>10924</v>
      </c>
      <c r="J121" s="39">
        <f>SUMIFS(INDEX('拌客源数据1-8月'!$A:$X,0,MATCH('常用函数-完成版'!J$111,'拌客源数据1-8月'!$A$1:$X$1,0)),'拌客源数据1-8月'!$I:$I,'常用函数-完成版'!$B121)</f>
        <v>2362</v>
      </c>
    </row>
    <row r="122" spans="2:16" x14ac:dyDescent="0.2">
      <c r="B122" s="60" t="s">
        <v>38</v>
      </c>
      <c r="C122" s="61"/>
      <c r="D122" s="39" t="str">
        <f>INDEX('拌客源数据1-8月'!$A:$I,MATCH($B122,'拌客源数据1-8月'!$I:$I,0),MATCH(D$111,'拌客源数据1-8月'!$A$1:$I$1,0))</f>
        <v>2000507076</v>
      </c>
      <c r="E122" s="39" t="str">
        <f>INDEX('拌客源数据1-8月'!$A:$I,MATCH('常用函数-完成版'!$B122,'拌客源数据1-8月'!$I:$I,0),MATCH('常用函数-完成版'!E$111,'拌客源数据1-8月'!$A$1:$I$1,0))</f>
        <v>蛙小辣火锅杯（总账号）</v>
      </c>
      <c r="F122" s="39">
        <f>INDEX('拌客源数据1-8月'!$A:$I,MATCH('常用函数-完成版'!$B122,'拌客源数据1-8月'!$I:$I,0),MATCH('常用函数-完成版'!F$111,'拌客源数据1-8月'!$A$1:$I$1,0))</f>
        <v>4636</v>
      </c>
      <c r="G122" s="39" t="str">
        <f>INDEX('拌客源数据1-8月'!$A:$I,MATCH('常用函数-完成版'!$B122,'拌客源数据1-8月'!$I:$I,0),MATCH('常用函数-完成版'!G$111,'拌客源数据1-8月'!$A$1:$I$1,0))</f>
        <v>五角场店</v>
      </c>
      <c r="H122" s="39">
        <f>SUMIFS(INDEX('拌客源数据1-8月'!$A:$X,0,MATCH('常用函数-完成版'!H$111,'拌客源数据1-8月'!$A$1:$X$1,0)),'拌客源数据1-8月'!$I:$I,'常用函数-完成版'!$B122)</f>
        <v>13823.480000000001</v>
      </c>
      <c r="I122" s="39">
        <f>SUMIFS(INDEX('拌客源数据1-8月'!$A:$X,0,MATCH('常用函数-完成版'!I$111,'拌客源数据1-8月'!$A$1:$X$1,0)),'拌客源数据1-8月'!$I:$I,'常用函数-完成版'!$B122)</f>
        <v>849</v>
      </c>
      <c r="J122" s="39">
        <f>SUMIFS(INDEX('拌客源数据1-8月'!$A:$X,0,MATCH('常用函数-完成版'!J$111,'拌客源数据1-8月'!$A$1:$X$1,0)),'拌客源数据1-8月'!$I:$I,'常用函数-完成版'!$B122)</f>
        <v>205</v>
      </c>
    </row>
    <row r="123" spans="2:16" x14ac:dyDescent="0.2">
      <c r="B123" s="60" t="s">
        <v>39</v>
      </c>
      <c r="C123" s="61"/>
      <c r="D123" s="39" t="str">
        <f>INDEX('拌客源数据1-8月'!$A:$I,MATCH($B123,'拌客源数据1-8月'!$I:$I,0),MATCH(D$111,'拌客源数据1-8月'!$A$1:$I$1,0))</f>
        <v>8184590</v>
      </c>
      <c r="E123" s="39" t="str">
        <f>INDEX('拌客源数据1-8月'!$A:$I,MATCH('常用函数-完成版'!$B123,'拌客源数据1-8月'!$I:$I,0),MATCH('常用函数-完成版'!E$111,'拌客源数据1-8月'!$A$1:$I$1,0))</f>
        <v>蛙小辣火锅杯（总账号）</v>
      </c>
      <c r="F123" s="39">
        <f>INDEX('拌客源数据1-8月'!$A:$I,MATCH('常用函数-完成版'!$B123,'拌客源数据1-8月'!$I:$I,0),MATCH('常用函数-完成版'!F$111,'拌客源数据1-8月'!$A$1:$I$1,0))</f>
        <v>4636</v>
      </c>
      <c r="G123" s="39" t="str">
        <f>INDEX('拌客源数据1-8月'!$A:$I,MATCH('常用函数-完成版'!$B123,'拌客源数据1-8月'!$I:$I,0),MATCH('常用函数-完成版'!G$111,'拌客源数据1-8月'!$A$1:$I$1,0))</f>
        <v>五角场店</v>
      </c>
      <c r="H123" s="39">
        <f>SUMIFS(INDEX('拌客源数据1-8月'!$A:$X,0,MATCH('常用函数-完成版'!H$111,'拌客源数据1-8月'!$A$1:$X$1,0)),'拌客源数据1-8月'!$I:$I,'常用函数-完成版'!$B123)</f>
        <v>682.13</v>
      </c>
      <c r="I123" s="39">
        <f>SUMIFS(INDEX('拌客源数据1-8月'!$A:$X,0,MATCH('常用函数-完成版'!I$111,'拌客源数据1-8月'!$A$1:$X$1,0)),'拌客源数据1-8月'!$I:$I,'常用函数-完成版'!$B123)</f>
        <v>45</v>
      </c>
      <c r="J123" s="39">
        <f>SUMIFS(INDEX('拌客源数据1-8月'!$A:$X,0,MATCH('常用函数-完成版'!J$111,'拌客源数据1-8月'!$A$1:$X$1,0)),'拌客源数据1-8月'!$I:$I,'常用函数-完成版'!$B123)</f>
        <v>8</v>
      </c>
    </row>
    <row r="124" spans="2:16" x14ac:dyDescent="0.2">
      <c r="B124" s="60" t="s">
        <v>41</v>
      </c>
      <c r="C124" s="61"/>
      <c r="D124" s="39" t="str">
        <f>INDEX('拌客源数据1-8月'!$A:$I,MATCH($B124,'拌客源数据1-8月'!$I:$I,0),MATCH(D$111,'拌客源数据1-8月'!$A$1:$I$1,0))</f>
        <v>337460136</v>
      </c>
      <c r="E124" s="39" t="str">
        <f>INDEX('拌客源数据1-8月'!$A:$I,MATCH('常用函数-完成版'!$B124,'拌客源数据1-8月'!$I:$I,0),MATCH('常用函数-完成版'!E$111,'拌客源数据1-8月'!$A$1:$I$1,0))</f>
        <v>拌客（武宁路店）</v>
      </c>
      <c r="F124" s="39">
        <f>INDEX('拌客源数据1-8月'!$A:$I,MATCH('常用函数-完成版'!$B124,'拌客源数据1-8月'!$I:$I,0),MATCH('常用函数-完成版'!F$111,'拌客源数据1-8月'!$A$1:$I$1,0))</f>
        <v>6108</v>
      </c>
      <c r="G124" s="39" t="str">
        <f>INDEX('拌客源数据1-8月'!$A:$I,MATCH('常用函数-完成版'!$B124,'拌客源数据1-8月'!$I:$I,0),MATCH('常用函数-完成版'!G$111,'拌客源数据1-8月'!$A$1:$I$1,0))</f>
        <v>拌客干拌麻辣烫(武宁路店)</v>
      </c>
      <c r="H124" s="39">
        <f>SUMIFS(INDEX('拌客源数据1-8月'!$A:$X,0,MATCH('常用函数-完成版'!H$111,'拌客源数据1-8月'!$A$1:$X$1,0)),'拌客源数据1-8月'!$I:$I,'常用函数-完成版'!$B124)</f>
        <v>3913.76</v>
      </c>
      <c r="I124" s="39">
        <f>SUMIFS(INDEX('拌客源数据1-8月'!$A:$X,0,MATCH('常用函数-完成版'!I$111,'拌客源数据1-8月'!$A$1:$X$1,0)),'拌客源数据1-8月'!$I:$I,'常用函数-完成版'!$B124)</f>
        <v>441</v>
      </c>
      <c r="J124" s="39">
        <f>SUMIFS(INDEX('拌客源数据1-8月'!$A:$X,0,MATCH('常用函数-完成版'!J$111,'拌客源数据1-8月'!$A$1:$X$1,0)),'拌客源数据1-8月'!$I:$I,'常用函数-完成版'!$B124)</f>
        <v>72</v>
      </c>
    </row>
    <row r="125" spans="2:16" x14ac:dyDescent="0.2">
      <c r="B125" s="60" t="s">
        <v>42</v>
      </c>
      <c r="C125" s="61"/>
      <c r="D125" s="39" t="str">
        <f>INDEX('拌客源数据1-8月'!$A:$I,MATCH($B125,'拌客源数据1-8月'!$I:$I,0),MATCH(D$111,'拌客源数据1-8月'!$A$1:$I$1,0))</f>
        <v>337460136</v>
      </c>
      <c r="E125" s="39" t="str">
        <f>INDEX('拌客源数据1-8月'!$A:$I,MATCH('常用函数-完成版'!$B125,'拌客源数据1-8月'!$I:$I,0),MATCH('常用函数-完成版'!E$111,'拌客源数据1-8月'!$A$1:$I$1,0))</f>
        <v>拌客（武宁路店）</v>
      </c>
      <c r="F125" s="39">
        <f>INDEX('拌客源数据1-8月'!$A:$I,MATCH('常用函数-完成版'!$B125,'拌客源数据1-8月'!$I:$I,0),MATCH('常用函数-完成版'!F$111,'拌客源数据1-8月'!$A$1:$I$1,0))</f>
        <v>6108</v>
      </c>
      <c r="G125" s="39" t="str">
        <f>INDEX('拌客源数据1-8月'!$A:$I,MATCH('常用函数-完成版'!$B125,'拌客源数据1-8月'!$I:$I,0),MATCH('常用函数-完成版'!G$111,'拌客源数据1-8月'!$A$1:$I$1,0))</f>
        <v>拌客干拌麻辣烫(武宁路店)</v>
      </c>
      <c r="H125" s="39">
        <f>SUMIFS(INDEX('拌客源数据1-8月'!$A:$X,0,MATCH('常用函数-完成版'!H$111,'拌客源数据1-8月'!$A$1:$X$1,0)),'拌客源数据1-8月'!$I:$I,'常用函数-完成版'!$B125)</f>
        <v>421831.69999999995</v>
      </c>
      <c r="I125" s="39">
        <f>SUMIFS(INDEX('拌客源数据1-8月'!$A:$X,0,MATCH('常用函数-完成版'!I$111,'拌客源数据1-8月'!$A$1:$X$1,0)),'拌客源数据1-8月'!$I:$I,'常用函数-完成版'!$B125)</f>
        <v>31427</v>
      </c>
      <c r="J125" s="39">
        <f>SUMIFS(INDEX('拌客源数据1-8月'!$A:$X,0,MATCH('常用函数-完成版'!J$111,'拌客源数据1-8月'!$A$1:$X$1,0)),'拌客源数据1-8月'!$I:$I,'常用函数-完成版'!$B125)</f>
        <v>8314</v>
      </c>
    </row>
    <row r="126" spans="2:16" x14ac:dyDescent="0.2">
      <c r="B126" s="60" t="s">
        <v>43</v>
      </c>
      <c r="C126" s="61"/>
      <c r="D126" s="39" t="str">
        <f>INDEX('拌客源数据1-8月'!$A:$I,MATCH($B126,'拌客源数据1-8月'!$I:$I,0),MATCH(D$111,'拌客源数据1-8月'!$A$1:$I$1,0))</f>
        <v>9428110</v>
      </c>
      <c r="E126" s="39" t="str">
        <f>INDEX('拌客源数据1-8月'!$A:$I,MATCH('常用函数-完成版'!$B126,'拌客源数据1-8月'!$I:$I,0),MATCH('常用函数-完成版'!E$111,'拌客源数据1-8月'!$A$1:$I$1,0))</f>
        <v>拌客（武宁路店）</v>
      </c>
      <c r="F126" s="39">
        <f>INDEX('拌客源数据1-8月'!$A:$I,MATCH('常用函数-完成版'!$B126,'拌客源数据1-8月'!$I:$I,0),MATCH('常用函数-完成版'!F$111,'拌客源数据1-8月'!$A$1:$I$1,0))</f>
        <v>6108</v>
      </c>
      <c r="G126" s="39" t="str">
        <f>INDEX('拌客源数据1-8月'!$A:$I,MATCH('常用函数-完成版'!$B126,'拌客源数据1-8月'!$I:$I,0),MATCH('常用函数-完成版'!G$111,'拌客源数据1-8月'!$A$1:$I$1,0))</f>
        <v>拌客干拌麻辣烫(武宁路店)</v>
      </c>
      <c r="H126" s="39">
        <f>SUMIFS(INDEX('拌客源数据1-8月'!$A:$X,0,MATCH('常用函数-完成版'!H$111,'拌客源数据1-8月'!$A$1:$X$1,0)),'拌客源数据1-8月'!$I:$I,'常用函数-完成版'!$B126)</f>
        <v>114007.74</v>
      </c>
      <c r="I126" s="39">
        <f>SUMIFS(INDEX('拌客源数据1-8月'!$A:$X,0,MATCH('常用函数-完成版'!I$111,'拌客源数据1-8月'!$A$1:$X$1,0)),'拌客源数据1-8月'!$I:$I,'常用函数-完成版'!$B126)</f>
        <v>7867</v>
      </c>
      <c r="J126" s="39">
        <f>SUMIFS(INDEX('拌客源数据1-8月'!$A:$X,0,MATCH('常用函数-完成版'!J$111,'拌客源数据1-8月'!$A$1:$X$1,0)),'拌客源数据1-8月'!$I:$I,'常用函数-完成版'!$B126)</f>
        <v>2329</v>
      </c>
    </row>
    <row r="127" spans="2:16" x14ac:dyDescent="0.2">
      <c r="B127" s="49"/>
      <c r="C127" s="49"/>
      <c r="D127" s="40"/>
      <c r="E127" s="40"/>
      <c r="F127" s="40"/>
      <c r="G127" s="40"/>
    </row>
    <row r="128" spans="2:16" x14ac:dyDescent="0.2">
      <c r="B128" s="49"/>
      <c r="C128" s="49"/>
      <c r="D128" s="40"/>
      <c r="E128" s="40"/>
      <c r="F128" s="40"/>
      <c r="G128" s="40"/>
      <c r="H128" s="40"/>
    </row>
    <row r="129" spans="2:10" x14ac:dyDescent="0.2">
      <c r="B129" s="49"/>
      <c r="C129" s="49"/>
      <c r="D129" s="49"/>
      <c r="E129" s="40"/>
      <c r="F129" s="40"/>
      <c r="G129" s="40"/>
      <c r="H129" s="40"/>
      <c r="I129" s="40"/>
      <c r="J129" s="40"/>
    </row>
    <row r="130" spans="2:10" x14ac:dyDescent="0.2">
      <c r="B130" s="49"/>
      <c r="C130" s="49"/>
      <c r="D130" s="40"/>
      <c r="E130" s="40"/>
      <c r="F130" s="40"/>
      <c r="G130" s="40"/>
      <c r="H130" s="40"/>
      <c r="I130" s="40"/>
      <c r="J130" s="40"/>
    </row>
    <row r="131" spans="2:10" x14ac:dyDescent="0.2">
      <c r="B131" s="49"/>
      <c r="C131" s="49"/>
      <c r="D131" s="40"/>
      <c r="E131" s="40"/>
      <c r="F131" s="40"/>
      <c r="G131" s="40"/>
      <c r="H131" s="40"/>
      <c r="I131" s="40"/>
      <c r="J131" s="40"/>
    </row>
    <row r="132" spans="2:10" x14ac:dyDescent="0.2">
      <c r="D132" s="40"/>
      <c r="E132" s="40"/>
      <c r="F132" s="40"/>
      <c r="G132" s="40"/>
      <c r="H132" s="40"/>
      <c r="I132" s="40"/>
      <c r="J132" s="40"/>
    </row>
    <row r="133" spans="2:10" x14ac:dyDescent="0.2">
      <c r="D133" s="40"/>
      <c r="E133" s="40"/>
      <c r="F133" s="40"/>
      <c r="G133" s="40"/>
      <c r="H133" s="40"/>
      <c r="I133" s="40"/>
      <c r="J133" s="40"/>
    </row>
    <row r="134" spans="2:10" x14ac:dyDescent="0.2">
      <c r="D134" s="40"/>
      <c r="E134" s="40"/>
      <c r="F134" s="40"/>
      <c r="G134" s="40"/>
      <c r="H134" s="40"/>
      <c r="I134" s="40"/>
      <c r="J134" s="40"/>
    </row>
    <row r="135" spans="2:10" x14ac:dyDescent="0.2">
      <c r="D135" s="40"/>
      <c r="E135" s="40"/>
      <c r="F135" s="40"/>
      <c r="G135" s="40"/>
      <c r="H135" s="40"/>
      <c r="I135" s="40"/>
      <c r="J135" s="40"/>
    </row>
    <row r="136" spans="2:10" x14ac:dyDescent="0.2">
      <c r="D136" s="40"/>
      <c r="E136" s="40"/>
      <c r="F136" s="40"/>
      <c r="G136" s="40"/>
      <c r="H136" s="40"/>
      <c r="I136" s="40"/>
      <c r="J136" s="40"/>
    </row>
    <row r="137" spans="2:10" x14ac:dyDescent="0.2">
      <c r="D137" s="40"/>
      <c r="E137" s="40"/>
      <c r="F137" s="40"/>
      <c r="G137" s="40"/>
      <c r="H137" s="40"/>
      <c r="I137" s="40"/>
      <c r="J137" s="40"/>
    </row>
    <row r="138" spans="2:10" x14ac:dyDescent="0.2">
      <c r="D138" s="40"/>
      <c r="E138" s="40"/>
      <c r="F138" s="40"/>
      <c r="G138" s="40"/>
      <c r="H138" s="40"/>
      <c r="I138" s="40"/>
      <c r="J138" s="40"/>
    </row>
    <row r="139" spans="2:10" x14ac:dyDescent="0.2">
      <c r="D139" s="40"/>
      <c r="E139" s="40"/>
      <c r="F139" s="40"/>
      <c r="G139" s="40"/>
      <c r="H139" s="40"/>
      <c r="I139" s="40"/>
      <c r="J139" s="40"/>
    </row>
    <row r="140" spans="2:10" x14ac:dyDescent="0.2">
      <c r="D140" s="40"/>
      <c r="E140" s="40"/>
      <c r="F140" s="40"/>
      <c r="G140" s="40"/>
      <c r="H140" s="40"/>
      <c r="I140" s="40"/>
      <c r="J140" s="40"/>
    </row>
    <row r="141" spans="2:10" x14ac:dyDescent="0.2">
      <c r="D141" s="40"/>
      <c r="E141" s="40"/>
      <c r="F141" s="40"/>
      <c r="G141" s="40"/>
      <c r="H141" s="40"/>
      <c r="I141" s="40"/>
      <c r="J141" s="40"/>
    </row>
    <row r="142" spans="2:10" x14ac:dyDescent="0.2">
      <c r="D142" s="40"/>
      <c r="E142" s="40"/>
      <c r="F142" s="40"/>
      <c r="G142" s="40"/>
      <c r="H142" s="40"/>
      <c r="I142" s="40"/>
      <c r="J142" s="40"/>
    </row>
    <row r="143" spans="2:10" x14ac:dyDescent="0.2">
      <c r="D143" s="40"/>
      <c r="E143" s="40"/>
      <c r="F143" s="40"/>
      <c r="G143" s="40"/>
      <c r="H143" s="40"/>
      <c r="I143" s="40"/>
      <c r="J143" s="40"/>
    </row>
    <row r="144" spans="2:10" x14ac:dyDescent="0.2">
      <c r="E144" s="40"/>
      <c r="F144" s="40"/>
      <c r="G144" s="40"/>
      <c r="H144" s="40"/>
      <c r="I144" s="40"/>
      <c r="J144" s="40"/>
    </row>
    <row r="145" spans="5:10" x14ac:dyDescent="0.2">
      <c r="E145" s="40"/>
      <c r="F145" s="40"/>
      <c r="G145" s="40"/>
      <c r="H145" s="40"/>
      <c r="I145" s="40"/>
      <c r="J145" s="40"/>
    </row>
  </sheetData>
  <mergeCells count="1">
    <mergeCell ref="B111:C111"/>
  </mergeCells>
  <phoneticPr fontId="18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 codeName="Sheet4">
    <tabColor rgb="FFFFC000"/>
  </sheetPr>
  <dimension ref="A1:C8"/>
  <sheetViews>
    <sheetView workbookViewId="0"/>
  </sheetViews>
  <sheetFormatPr defaultRowHeight="14.25" x14ac:dyDescent="0.2"/>
  <cols>
    <col min="1" max="1" width="24.5" bestFit="1" customWidth="1"/>
    <col min="2" max="2" width="12.125" bestFit="1" customWidth="1"/>
    <col min="3" max="3" width="15.625" bestFit="1" customWidth="1"/>
    <col min="4" max="4" width="23" bestFit="1" customWidth="1"/>
  </cols>
  <sheetData>
    <row r="1" spans="1:3" x14ac:dyDescent="0.2">
      <c r="A1" s="53" t="s">
        <v>10</v>
      </c>
      <c r="B1" t="s">
        <v>22</v>
      </c>
    </row>
    <row r="3" spans="1:3" x14ac:dyDescent="0.2">
      <c r="A3" s="53" t="s">
        <v>135</v>
      </c>
      <c r="B3" t="s">
        <v>137</v>
      </c>
      <c r="C3" t="s">
        <v>148</v>
      </c>
    </row>
    <row r="4" spans="1:3" x14ac:dyDescent="0.2">
      <c r="A4" s="49" t="s">
        <v>41</v>
      </c>
      <c r="B4">
        <v>114007.74</v>
      </c>
      <c r="C4">
        <v>36582.480000000003</v>
      </c>
    </row>
    <row r="5" spans="1:3" x14ac:dyDescent="0.2">
      <c r="A5" s="49" t="s">
        <v>28</v>
      </c>
      <c r="B5">
        <v>169975.03999999992</v>
      </c>
      <c r="C5">
        <v>63680.929999999986</v>
      </c>
    </row>
    <row r="6" spans="1:3" x14ac:dyDescent="0.2">
      <c r="A6" s="49" t="s">
        <v>24</v>
      </c>
      <c r="B6">
        <v>4313.57</v>
      </c>
      <c r="C6">
        <v>1897.6299999999999</v>
      </c>
    </row>
    <row r="7" spans="1:3" x14ac:dyDescent="0.2">
      <c r="A7" s="49" t="s">
        <v>21</v>
      </c>
      <c r="B7">
        <v>16838.82</v>
      </c>
      <c r="C7">
        <v>5992.61</v>
      </c>
    </row>
    <row r="8" spans="1:3" x14ac:dyDescent="0.2">
      <c r="A8" s="49" t="s">
        <v>136</v>
      </c>
      <c r="B8">
        <v>305135.16999999993</v>
      </c>
      <c r="C8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606-8748-4B25-868B-39312967869E}">
  <sheetPr codeName="Sheet5">
    <tabColor rgb="FFFFC000"/>
  </sheetPr>
  <dimension ref="A1:P32"/>
  <sheetViews>
    <sheetView zoomScaleNormal="100" workbookViewId="0">
      <selection activeCell="H33" sqref="H33"/>
    </sheetView>
  </sheetViews>
  <sheetFormatPr defaultColWidth="9" defaultRowHeight="17.25" x14ac:dyDescent="0.2"/>
  <cols>
    <col min="1" max="1" width="13.875" style="2" bestFit="1" customWidth="1"/>
    <col min="2" max="2" width="12.5" style="2" customWidth="1"/>
    <col min="3" max="3" width="12.5" style="2" bestFit="1" customWidth="1"/>
    <col min="4" max="4" width="13.25" style="2" customWidth="1"/>
    <col min="5" max="5" width="11.375" style="2" bestFit="1" customWidth="1"/>
    <col min="6" max="6" width="11.875" style="2" customWidth="1"/>
    <col min="7" max="7" width="11.25" style="2" bestFit="1" customWidth="1"/>
    <col min="8" max="8" width="11.5" style="2" bestFit="1" customWidth="1"/>
    <col min="9" max="9" width="11.625" style="2" bestFit="1" customWidth="1"/>
    <col min="10" max="16384" width="9" style="2"/>
  </cols>
  <sheetData>
    <row r="1" spans="1:16" x14ac:dyDescent="0.2">
      <c r="A1" s="2" t="s">
        <v>56</v>
      </c>
      <c r="B1" s="36">
        <f>$A$13</f>
        <v>44013</v>
      </c>
      <c r="C1" s="24" t="s">
        <v>77</v>
      </c>
      <c r="D1" s="36">
        <f>$A$19</f>
        <v>44019</v>
      </c>
    </row>
    <row r="2" spans="1:16" x14ac:dyDescent="0.2">
      <c r="A2" s="110" t="s">
        <v>57</v>
      </c>
      <c r="B2" s="111"/>
      <c r="C2" s="111"/>
      <c r="D2" s="111"/>
      <c r="E2" s="111"/>
      <c r="F2" s="111"/>
      <c r="G2" s="111"/>
      <c r="H2" s="111"/>
    </row>
    <row r="3" spans="1:16" x14ac:dyDescent="0.2">
      <c r="A3" s="111"/>
      <c r="B3" s="111"/>
      <c r="C3" s="111"/>
      <c r="D3" s="111"/>
      <c r="E3" s="111"/>
      <c r="F3" s="111"/>
      <c r="G3" s="111"/>
      <c r="H3" s="111"/>
    </row>
    <row r="4" spans="1:16" ht="18.75" thickBot="1" x14ac:dyDescent="0.25">
      <c r="A4" s="3" t="s">
        <v>58</v>
      </c>
    </row>
    <row r="5" spans="1:16" ht="18" x14ac:dyDescent="0.2">
      <c r="A5" s="4" t="s">
        <v>59</v>
      </c>
      <c r="B5" s="5"/>
      <c r="C5" s="4" t="s">
        <v>60</v>
      </c>
      <c r="D5" s="5"/>
      <c r="E5" s="4" t="s">
        <v>61</v>
      </c>
      <c r="F5" s="5"/>
      <c r="G5" s="6" t="s">
        <v>62</v>
      </c>
      <c r="H5" s="7" t="s">
        <v>162</v>
      </c>
    </row>
    <row r="6" spans="1:16" ht="18" x14ac:dyDescent="0.2">
      <c r="A6" s="8">
        <f>$C$32</f>
        <v>45334</v>
      </c>
      <c r="B6" s="4"/>
      <c r="C6" s="9">
        <f>SUM($D$25:$D$31)/$A$6</f>
        <v>5.8697666210791019E-2</v>
      </c>
      <c r="D6" s="4"/>
      <c r="E6" s="9">
        <f>G32</f>
        <v>0.23600150319428786</v>
      </c>
      <c r="F6" s="4"/>
      <c r="G6" s="112" t="s">
        <v>63</v>
      </c>
      <c r="H6" s="113"/>
      <c r="P6" s="10"/>
    </row>
    <row r="7" spans="1:16" ht="18" x14ac:dyDescent="0.2">
      <c r="A7" s="3" t="s">
        <v>64</v>
      </c>
      <c r="G7" s="114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0.17463135000000002</v>
      </c>
      <c r="H7" s="115"/>
      <c r="I7" s="10"/>
      <c r="K7" s="55"/>
    </row>
    <row r="8" spans="1:16" ht="18.75" thickBot="1" x14ac:dyDescent="0.25">
      <c r="A8" s="4" t="s">
        <v>53</v>
      </c>
      <c r="B8" s="5"/>
      <c r="C8" s="4" t="s">
        <v>54</v>
      </c>
      <c r="D8" s="5"/>
      <c r="E8" s="4" t="s">
        <v>65</v>
      </c>
      <c r="F8" s="5"/>
      <c r="G8" s="11" t="s">
        <v>66</v>
      </c>
      <c r="H8" s="12">
        <f>IF($H$5="全部",200000,IF($H$5="美团",100000,50000))</f>
        <v>200000</v>
      </c>
    </row>
    <row r="9" spans="1:16" ht="18" x14ac:dyDescent="0.2">
      <c r="A9" s="8">
        <f>F20</f>
        <v>650</v>
      </c>
      <c r="B9" s="13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-0.27211646136618139</v>
      </c>
      <c r="C9" s="8">
        <f>D20</f>
        <v>12022.23</v>
      </c>
      <c r="D9" s="13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-0.25889713279678073</v>
      </c>
      <c r="E9" s="14">
        <f>E20</f>
        <v>0.34421740426332387</v>
      </c>
      <c r="F9" s="13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-5.1790497785177969E-3</v>
      </c>
      <c r="I9" s="15"/>
    </row>
    <row r="11" spans="1:16" ht="18" x14ac:dyDescent="0.2">
      <c r="A11" s="16" t="s">
        <v>67</v>
      </c>
      <c r="B11" s="17"/>
      <c r="C11" s="17" t="s">
        <v>68</v>
      </c>
      <c r="D11" s="17"/>
      <c r="E11" s="17"/>
      <c r="F11" s="17"/>
      <c r="G11" s="17"/>
      <c r="H11" s="18"/>
    </row>
    <row r="12" spans="1:16" x14ac:dyDescent="0.2">
      <c r="A12" s="19" t="s">
        <v>69</v>
      </c>
      <c r="B12" s="20" t="s">
        <v>70</v>
      </c>
      <c r="C12" s="20" t="s">
        <v>55</v>
      </c>
      <c r="D12" s="20" t="s">
        <v>54</v>
      </c>
      <c r="E12" s="20" t="s">
        <v>65</v>
      </c>
      <c r="F12" s="20" t="s">
        <v>53</v>
      </c>
      <c r="G12" s="20" t="s">
        <v>52</v>
      </c>
      <c r="H12" s="21" t="s">
        <v>71</v>
      </c>
    </row>
    <row r="13" spans="1:16" x14ac:dyDescent="0.2">
      <c r="A13" s="22">
        <v>44013</v>
      </c>
      <c r="B13" s="23">
        <f>A13</f>
        <v>44013</v>
      </c>
      <c r="C13" s="56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6001.38</v>
      </c>
      <c r="D13" s="56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2078.12</v>
      </c>
      <c r="E13" s="25">
        <f>D13/C13</f>
        <v>0.34627369038454486</v>
      </c>
      <c r="F13" s="24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113</v>
      </c>
      <c r="G13" s="24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2</v>
      </c>
      <c r="H13" s="26">
        <f>C13/F13</f>
        <v>53.109557522123893</v>
      </c>
    </row>
    <row r="14" spans="1:16" x14ac:dyDescent="0.2">
      <c r="A14" s="22">
        <f>A13+1</f>
        <v>44014</v>
      </c>
      <c r="B14" s="23">
        <f t="shared" ref="B14:B19" si="0">A14</f>
        <v>44014</v>
      </c>
      <c r="C14" s="56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7224.76</v>
      </c>
      <c r="D14" s="56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2465.41</v>
      </c>
      <c r="E14" s="25">
        <f t="shared" ref="E14:E20" si="1">D14/C14</f>
        <v>0.3412445534522946</v>
      </c>
      <c r="F14" s="24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137</v>
      </c>
      <c r="G14" s="24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2</v>
      </c>
      <c r="H14" s="26">
        <f t="shared" ref="H14:H19" si="2">C14/F14</f>
        <v>52.735474452554747</v>
      </c>
    </row>
    <row r="15" spans="1:16" x14ac:dyDescent="0.2">
      <c r="A15" s="22">
        <f t="shared" ref="A15:A19" si="3">A14+1</f>
        <v>44015</v>
      </c>
      <c r="B15" s="23">
        <f t="shared" si="0"/>
        <v>44015</v>
      </c>
      <c r="C15" s="56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5285.44</v>
      </c>
      <c r="D15" s="56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1702.95</v>
      </c>
      <c r="E15" s="25">
        <f t="shared" si="1"/>
        <v>0.32219644911303508</v>
      </c>
      <c r="F15" s="24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107</v>
      </c>
      <c r="G15" s="24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0</v>
      </c>
      <c r="H15" s="26">
        <f t="shared" si="2"/>
        <v>49.396635514018691</v>
      </c>
    </row>
    <row r="16" spans="1:16" x14ac:dyDescent="0.2">
      <c r="A16" s="22">
        <f t="shared" si="3"/>
        <v>44016</v>
      </c>
      <c r="B16" s="23">
        <f t="shared" si="0"/>
        <v>44016</v>
      </c>
      <c r="C16" s="56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5125.88</v>
      </c>
      <c r="D16" s="56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1820.1000000000001</v>
      </c>
      <c r="E16" s="25">
        <f t="shared" si="1"/>
        <v>0.35508049349575099</v>
      </c>
      <c r="F16" s="24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91</v>
      </c>
      <c r="G16" s="24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0</v>
      </c>
      <c r="H16" s="26">
        <f t="shared" si="2"/>
        <v>56.328351648351649</v>
      </c>
    </row>
    <row r="17" spans="1:8" x14ac:dyDescent="0.2">
      <c r="A17" s="22">
        <f t="shared" si="3"/>
        <v>44017</v>
      </c>
      <c r="B17" s="23">
        <f t="shared" si="0"/>
        <v>44017</v>
      </c>
      <c r="C17" s="56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4373.78</v>
      </c>
      <c r="D17" s="56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1491.92</v>
      </c>
      <c r="E17" s="25">
        <f t="shared" si="1"/>
        <v>0.34110540539304679</v>
      </c>
      <c r="F17" s="24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80</v>
      </c>
      <c r="G17" s="24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4</v>
      </c>
      <c r="H17" s="26">
        <f t="shared" si="2"/>
        <v>54.672249999999998</v>
      </c>
    </row>
    <row r="18" spans="1:8" x14ac:dyDescent="0.2">
      <c r="A18" s="22">
        <f t="shared" si="3"/>
        <v>44018</v>
      </c>
      <c r="B18" s="23">
        <f t="shared" si="0"/>
        <v>44018</v>
      </c>
      <c r="C18" s="56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2150.3200000000002</v>
      </c>
      <c r="D18" s="56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812.27</v>
      </c>
      <c r="E18" s="25">
        <f t="shared" si="1"/>
        <v>0.37774377767030021</v>
      </c>
      <c r="F18" s="24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35</v>
      </c>
      <c r="G18" s="24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6">
        <f t="shared" si="2"/>
        <v>61.437714285714293</v>
      </c>
    </row>
    <row r="19" spans="1:8" x14ac:dyDescent="0.2">
      <c r="A19" s="27">
        <f t="shared" si="3"/>
        <v>44019</v>
      </c>
      <c r="B19" s="28">
        <f t="shared" si="0"/>
        <v>44019</v>
      </c>
      <c r="C19" s="57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4764.71</v>
      </c>
      <c r="D19" s="57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1651.46</v>
      </c>
      <c r="E19" s="30">
        <f t="shared" si="1"/>
        <v>0.3466024165164302</v>
      </c>
      <c r="F19" s="29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87</v>
      </c>
      <c r="G19" s="29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0</v>
      </c>
      <c r="H19" s="31">
        <f t="shared" si="2"/>
        <v>54.766781609195405</v>
      </c>
    </row>
    <row r="20" spans="1:8" x14ac:dyDescent="0.2">
      <c r="A20" s="24" t="s">
        <v>72</v>
      </c>
      <c r="B20" s="23"/>
      <c r="C20" s="56">
        <f>SUM(C13:C19)</f>
        <v>34926.269999999997</v>
      </c>
      <c r="D20" s="56">
        <f>SUM(D13:D19)</f>
        <v>12022.23</v>
      </c>
      <c r="E20" s="25">
        <f t="shared" si="1"/>
        <v>0.34421740426332387</v>
      </c>
      <c r="F20" s="24">
        <f>SUM(F13:F19)</f>
        <v>650</v>
      </c>
      <c r="G20" s="24">
        <f>SUM(G13:G19)</f>
        <v>8</v>
      </c>
      <c r="H20" s="32">
        <f>C20/F20</f>
        <v>53.732723076923072</v>
      </c>
    </row>
    <row r="23" spans="1:8" ht="18" x14ac:dyDescent="0.2">
      <c r="A23" s="16" t="s">
        <v>73</v>
      </c>
      <c r="B23" s="17"/>
      <c r="C23" s="17" t="s">
        <v>68</v>
      </c>
      <c r="D23" s="17"/>
      <c r="E23" s="17"/>
      <c r="F23" s="17"/>
      <c r="G23" s="17"/>
      <c r="H23" s="18"/>
    </row>
    <row r="24" spans="1:8" x14ac:dyDescent="0.2">
      <c r="A24" s="19" t="s">
        <v>69</v>
      </c>
      <c r="B24" s="20" t="s">
        <v>70</v>
      </c>
      <c r="C24" s="20" t="s">
        <v>59</v>
      </c>
      <c r="D24" s="20" t="s">
        <v>74</v>
      </c>
      <c r="E24" s="20" t="s">
        <v>60</v>
      </c>
      <c r="F24" s="20" t="s">
        <v>75</v>
      </c>
      <c r="G24" s="20" t="s">
        <v>61</v>
      </c>
      <c r="H24" s="21" t="s">
        <v>76</v>
      </c>
    </row>
    <row r="25" spans="1:8" x14ac:dyDescent="0.2">
      <c r="A25" s="22">
        <f>A13</f>
        <v>44013</v>
      </c>
      <c r="B25" s="23">
        <f>A25</f>
        <v>44013</v>
      </c>
      <c r="C25" s="24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7069</v>
      </c>
      <c r="D25" s="24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404</v>
      </c>
      <c r="E25" s="25">
        <f>D25/C25</f>
        <v>5.7150940727118404E-2</v>
      </c>
      <c r="F25" s="24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109</v>
      </c>
      <c r="G25" s="25">
        <f>F25/D25</f>
        <v>0.26980198019801982</v>
      </c>
      <c r="H25" s="33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3.6779873962321998E-2</v>
      </c>
    </row>
    <row r="26" spans="1:8" x14ac:dyDescent="0.2">
      <c r="A26" s="22">
        <f t="shared" ref="A26:A31" si="4">A14</f>
        <v>44014</v>
      </c>
      <c r="B26" s="23">
        <f t="shared" ref="B26:B31" si="5">A26</f>
        <v>44014</v>
      </c>
      <c r="C26" s="24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7913</v>
      </c>
      <c r="D26" s="24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486</v>
      </c>
      <c r="E26" s="25">
        <f t="shared" ref="E26:E31" si="6">D26/C26</f>
        <v>6.141791987868065E-2</v>
      </c>
      <c r="F26" s="24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132</v>
      </c>
      <c r="G26" s="25">
        <f t="shared" ref="G26:G31" si="7">F26/D26</f>
        <v>0.27160493827160492</v>
      </c>
      <c r="H26" s="33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3.2877216682630286E-2</v>
      </c>
    </row>
    <row r="27" spans="1:8" x14ac:dyDescent="0.2">
      <c r="A27" s="22">
        <f t="shared" si="4"/>
        <v>44015</v>
      </c>
      <c r="B27" s="23">
        <f t="shared" si="5"/>
        <v>44015</v>
      </c>
      <c r="C27" s="24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7459</v>
      </c>
      <c r="D27" s="24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438</v>
      </c>
      <c r="E27" s="25">
        <f t="shared" si="6"/>
        <v>5.8721008178039949E-2</v>
      </c>
      <c r="F27" s="24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103</v>
      </c>
      <c r="G27" s="25">
        <f t="shared" si="7"/>
        <v>0.23515981735159816</v>
      </c>
      <c r="H27" s="33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4.4124992432039718E-2</v>
      </c>
    </row>
    <row r="28" spans="1:8" x14ac:dyDescent="0.2">
      <c r="A28" s="22">
        <f t="shared" si="4"/>
        <v>44016</v>
      </c>
      <c r="B28" s="23">
        <f t="shared" si="5"/>
        <v>44016</v>
      </c>
      <c r="C28" s="24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7371</v>
      </c>
      <c r="D28" s="24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388</v>
      </c>
      <c r="E28" s="25">
        <f t="shared" si="6"/>
        <v>5.2638719305385974E-2</v>
      </c>
      <c r="F28" s="24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85</v>
      </c>
      <c r="G28" s="25">
        <f t="shared" si="7"/>
        <v>0.21907216494845361</v>
      </c>
      <c r="H28" s="33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6.0321349699953966E-2</v>
      </c>
    </row>
    <row r="29" spans="1:8" x14ac:dyDescent="0.2">
      <c r="A29" s="22">
        <f t="shared" si="4"/>
        <v>44017</v>
      </c>
      <c r="B29" s="23">
        <f t="shared" si="5"/>
        <v>44017</v>
      </c>
      <c r="C29" s="24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7289</v>
      </c>
      <c r="D29" s="24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429</v>
      </c>
      <c r="E29" s="25">
        <f t="shared" si="6"/>
        <v>5.8855810124845656E-2</v>
      </c>
      <c r="F29" s="24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79</v>
      </c>
      <c r="G29" s="25">
        <f t="shared" si="7"/>
        <v>0.18414918414918416</v>
      </c>
      <c r="H29" s="33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4.6993675950779426E-2</v>
      </c>
    </row>
    <row r="30" spans="1:8" x14ac:dyDescent="0.2">
      <c r="A30" s="22">
        <f t="shared" si="4"/>
        <v>44018</v>
      </c>
      <c r="B30" s="23">
        <f t="shared" si="5"/>
        <v>44018</v>
      </c>
      <c r="C30" s="24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2263</v>
      </c>
      <c r="D30" s="24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160</v>
      </c>
      <c r="E30" s="25">
        <f t="shared" si="6"/>
        <v>7.0702607158638978E-2</v>
      </c>
      <c r="F30" s="24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34</v>
      </c>
      <c r="G30" s="25">
        <f t="shared" si="7"/>
        <v>0.21249999999999999</v>
      </c>
      <c r="H30" s="33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3.3627553108374564E-2</v>
      </c>
    </row>
    <row r="31" spans="1:8" x14ac:dyDescent="0.2">
      <c r="A31" s="27">
        <f t="shared" si="4"/>
        <v>44019</v>
      </c>
      <c r="B31" s="28">
        <f t="shared" si="5"/>
        <v>44019</v>
      </c>
      <c r="C31" s="29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5970</v>
      </c>
      <c r="D31" s="29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356</v>
      </c>
      <c r="E31" s="30">
        <f t="shared" si="6"/>
        <v>5.9631490787269682E-2</v>
      </c>
      <c r="F31" s="29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86</v>
      </c>
      <c r="G31" s="30">
        <f t="shared" si="7"/>
        <v>0.24157303370786518</v>
      </c>
      <c r="H31" s="34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5.0154154187767988E-2</v>
      </c>
    </row>
    <row r="32" spans="1:8" x14ac:dyDescent="0.2">
      <c r="A32" s="24" t="s">
        <v>72</v>
      </c>
      <c r="B32" s="24"/>
      <c r="C32" s="24">
        <f>SUM(C25:C31)</f>
        <v>45334</v>
      </c>
      <c r="D32" s="24">
        <f>SUM(D25:D31)</f>
        <v>2661</v>
      </c>
      <c r="E32" s="35">
        <f>D32/C32</f>
        <v>5.8697666210791019E-2</v>
      </c>
      <c r="F32" s="24">
        <f>SUM(F25:F31)</f>
        <v>628</v>
      </c>
      <c r="G32" s="35">
        <f>F32/D32</f>
        <v>0.23600150319428786</v>
      </c>
      <c r="H32" s="35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4.3448670585207072E-2</v>
      </c>
    </row>
  </sheetData>
  <dataConsolidate/>
  <mergeCells count="3">
    <mergeCell ref="A2:H3"/>
    <mergeCell ref="G6:H6"/>
    <mergeCell ref="G7:H7"/>
  </mergeCells>
  <phoneticPr fontId="18" type="noConversion"/>
  <conditionalFormatting sqref="A13:B13 E13:H13 A14:H19">
    <cfRule type="expression" dxfId="17" priority="14">
      <formula>$C13&lt;AVERAGE($C$13:$C$19)</formula>
    </cfRule>
  </conditionalFormatting>
  <conditionalFormatting sqref="B9">
    <cfRule type="cellIs" dxfId="16" priority="18" operator="greaterThan">
      <formula>0</formula>
    </cfRule>
    <cfRule type="cellIs" dxfId="15" priority="19" operator="lessThan">
      <formula>0</formula>
    </cfRule>
  </conditionalFormatting>
  <conditionalFormatting sqref="D9">
    <cfRule type="cellIs" dxfId="14" priority="3" operator="greaterThan">
      <formula>0</formula>
    </cfRule>
    <cfRule type="cellIs" dxfId="13" priority="4" operator="lessThan">
      <formula>0</formula>
    </cfRule>
    <cfRule type="cellIs" dxfId="12" priority="10" operator="lessThan">
      <formula>0</formula>
    </cfRule>
    <cfRule type="cellIs" dxfId="11" priority="11" operator="greaterThan">
      <formula>0</formula>
    </cfRule>
  </conditionalFormatting>
  <conditionalFormatting sqref="F9">
    <cfRule type="cellIs" dxfId="10" priority="1" operator="greaterThan">
      <formula>0</formula>
    </cfRule>
    <cfRule type="cellIs" dxfId="9" priority="2" operator="lessThan">
      <formula>0</formula>
    </cfRule>
    <cfRule type="cellIs" dxfId="8" priority="16" operator="lessThan">
      <formula>0</formula>
    </cfRule>
    <cfRule type="cellIs" dxfId="7" priority="17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dataValidations count="1">
    <dataValidation type="list" allowBlank="1" showInputMessage="1" showErrorMessage="1" sqref="H5" xr:uid="{5926AC02-B758-4EB5-8846-4FD174143F02}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1E85E299-2E70-4300-B5A3-5C2189095D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  <x14:sparklineGroup manualMax="0" manualMin="0" displayEmptyCellsAs="gap" markers="1" xr2:uid="{FA0B1563-E6FC-41FF-933B-DDA417533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manualMax="0" manualMin="0" displayEmptyCellsAs="gap" markers="1" xr2:uid="{73F04425-0A95-4D0E-9ADB-7714868F3A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 codeName="Sheet6">
    <tabColor rgb="FFFFC000"/>
  </sheetPr>
  <dimension ref="A1:H32"/>
  <sheetViews>
    <sheetView workbookViewId="0">
      <selection activeCell="L26" sqref="L26"/>
    </sheetView>
  </sheetViews>
  <sheetFormatPr defaultRowHeight="17.25" x14ac:dyDescent="0.2"/>
  <cols>
    <col min="1" max="1" width="15.625" style="58" bestFit="1" customWidth="1"/>
    <col min="2" max="2" width="12.25" style="58" customWidth="1"/>
    <col min="3" max="3" width="11.875" style="58" customWidth="1"/>
    <col min="4" max="4" width="11.625" style="58" customWidth="1"/>
    <col min="5" max="6" width="12.375" style="58" customWidth="1"/>
    <col min="7" max="7" width="12.5" style="58" customWidth="1"/>
    <col min="8" max="8" width="11.125" style="58" customWidth="1"/>
  </cols>
  <sheetData>
    <row r="1" spans="1:8" x14ac:dyDescent="0.2">
      <c r="A1" s="58" t="s">
        <v>56</v>
      </c>
      <c r="B1" s="66">
        <f>A13</f>
        <v>44013</v>
      </c>
      <c r="C1" s="68" t="s">
        <v>77</v>
      </c>
      <c r="D1" s="66">
        <f>A19</f>
        <v>44019</v>
      </c>
    </row>
    <row r="2" spans="1:8" ht="17.25" customHeight="1" x14ac:dyDescent="0.2">
      <c r="A2" s="118" t="s">
        <v>57</v>
      </c>
      <c r="B2" s="118"/>
      <c r="C2" s="118"/>
      <c r="D2" s="118"/>
      <c r="E2" s="118"/>
      <c r="F2" s="118"/>
      <c r="G2" s="118"/>
      <c r="H2" s="118"/>
    </row>
    <row r="3" spans="1:8" ht="17.25" customHeight="1" x14ac:dyDescent="0.2">
      <c r="A3" s="118"/>
      <c r="B3" s="118"/>
      <c r="C3" s="118"/>
      <c r="D3" s="118"/>
      <c r="E3" s="118"/>
      <c r="F3" s="118"/>
      <c r="G3" s="118"/>
      <c r="H3" s="118"/>
    </row>
    <row r="4" spans="1:8" ht="18" x14ac:dyDescent="0.2">
      <c r="A4" s="70" t="s">
        <v>58</v>
      </c>
    </row>
    <row r="5" spans="1:8" x14ac:dyDescent="0.2">
      <c r="A5" s="58" t="s">
        <v>59</v>
      </c>
      <c r="C5" s="58" t="s">
        <v>164</v>
      </c>
      <c r="E5" s="58" t="s">
        <v>61</v>
      </c>
      <c r="G5" s="71" t="s">
        <v>62</v>
      </c>
      <c r="H5" s="72" t="s">
        <v>162</v>
      </c>
    </row>
    <row r="6" spans="1:8" x14ac:dyDescent="0.2">
      <c r="A6" s="58">
        <f>C32</f>
        <v>45334</v>
      </c>
      <c r="C6" s="69">
        <f>E32</f>
        <v>5.8697666210791019E-2</v>
      </c>
      <c r="E6" s="69">
        <f>G32</f>
        <v>0.23600150319428786</v>
      </c>
      <c r="G6" s="73" t="s">
        <v>63</v>
      </c>
      <c r="H6" s="74"/>
    </row>
    <row r="7" spans="1:8" ht="18" x14ac:dyDescent="0.2">
      <c r="A7" s="70" t="s">
        <v>64</v>
      </c>
      <c r="G7" s="116">
        <f>IF($H$5="全部",SUMIFS(INDEX('拌客源数据1-8月'!$A:$X,0,MATCH("GMV",'拌客源数据1-8月'!$1:$1,0)),'拌客源数据1-8月'!A:A,"&gt;="&amp;DATE(YEAR(A13),MONTH(A13),1),'拌客源数据1-8月'!A:A,"&lt;="&amp;A19),SUMIFS(INDEX('拌客源数据1-8月'!$A:$X,0,MATCH("GMV",'拌客源数据1-8月'!$1:$1,0)),'拌客源数据1-8月'!A:A,"&gt;="&amp;DATE(YEAR(A13),MONTH(A13),1),'拌客源数据1-8月'!A:A,"&lt;="&amp;A19,'拌客源数据1-8月'!$H:$H,$H$5))/H8</f>
        <v>0.17463135000000002</v>
      </c>
      <c r="H7" s="117"/>
    </row>
    <row r="8" spans="1:8" x14ac:dyDescent="0.2">
      <c r="A8" s="58" t="s">
        <v>53</v>
      </c>
      <c r="C8" s="58" t="s">
        <v>54</v>
      </c>
      <c r="E8" s="58" t="s">
        <v>65</v>
      </c>
      <c r="G8" s="75" t="s">
        <v>66</v>
      </c>
      <c r="H8" s="76">
        <f>IF(H5="全部",200000,IF(H5="美团",150000,50000))</f>
        <v>200000</v>
      </c>
    </row>
    <row r="9" spans="1:8" x14ac:dyDescent="0.2">
      <c r="A9" s="58">
        <f>F20</f>
        <v>650</v>
      </c>
      <c r="B9" s="58">
        <f>(F20/IF($H$5="全部",SUMIFS(INDEX('拌客源数据1-8月'!$A:$X,0,MATCH("有效订单",'拌客源数据1-8月'!$1:$1,0)),'拌客源数据1-8月'!A:A,"&gt;="&amp;(A13-7),'拌客源数据1-8月'!A:A,"&lt;="&amp;(A19-7)),SUMIFS(INDEX('拌客源数据1-8月'!$A:$X,0,MATCH("有效订单",'拌客源数据1-8月'!$1:$1,0)),'拌客源数据1-8月'!A:A,"&gt;="&amp;(A13-7),'拌客源数据1-8月'!A:A,"&lt;="&amp;(A19-7),'拌客源数据1-8月'!$H:$H,$H$5)))-1</f>
        <v>-0.27211646136618139</v>
      </c>
      <c r="C9" s="58">
        <f>D20</f>
        <v>12022.23</v>
      </c>
      <c r="D9" s="58">
        <f>D20/IF($H$5="全部",SUMIFS(INDEX('拌客源数据1-8月'!$A:$X,0,MATCH("商家实收",'拌客源数据1-8月'!$1:$1,0)),'拌客源数据1-8月'!A:A,"&gt;="&amp;(A13-7),'拌客源数据1-8月'!A:A,"&lt;="&amp;(A19-7)),SUMIFS(INDEX('拌客源数据1-8月'!$A:$X,0,MATCH("商家实收",'拌客源数据1-8月'!$1:$1,0)),'拌客源数据1-8月'!A:A,"&gt;="&amp;(A13-7),'拌客源数据1-8月'!A:A,"&lt;="&amp;(A19-7),'拌客源数据1-8月'!$H:$H,$H$5))-1</f>
        <v>-0.25889713279678073</v>
      </c>
      <c r="E9" s="69">
        <f>E20</f>
        <v>0.34421740426332387</v>
      </c>
      <c r="F9" s="58">
        <f>E20/(IF($H$5="全部",SUMIFS(INDEX('拌客源数据1-8月'!$A:$X,0,MATCH("商家实收",'拌客源数据1-8月'!$1:$1,0)),'拌客源数据1-8月'!A:A,"&gt;="&amp;(A13-7),'拌客源数据1-8月'!A:A,"&lt;="&amp;(A19-7)),SUMIFS(INDEX('拌客源数据1-8月'!$A:$X,0,MATCH("商家实收",'拌客源数据1-8月'!$1:$1,0)),'拌客源数据1-8月'!A:A,"&gt;="&amp;(A13-7),'拌客源数据1-8月'!A:A,"&lt;="&amp;(A19-7),'拌客源数据1-8月'!$H:$H,$H$5))/IF($H$5="全部",SUMIFS(INDEX('拌客源数据1-8月'!$A:$X,0,MATCH("GMV",'拌客源数据1-8月'!$1:$1,0)),'拌客源数据1-8月'!A:A,"&gt;="&amp;(A13-7),'拌客源数据1-8月'!A:A,"&lt;="&amp;(A19-7)),SUMIFS(INDEX('拌客源数据1-8月'!$A:$X,0,MATCH("GMV",'拌客源数据1-8月'!$1:$1,0)),'拌客源数据1-8月'!A:A,"&gt;="&amp;(A13-7),'拌客源数据1-8月'!A:A,"&lt;="&amp;(A19-7),'拌客源数据1-8月'!$H:$H,$H$5)))-1</f>
        <v>-5.1790497785177969E-3</v>
      </c>
    </row>
    <row r="11" spans="1:8" ht="18" x14ac:dyDescent="0.2">
      <c r="A11" s="70" t="s">
        <v>67</v>
      </c>
      <c r="C11" s="58" t="s">
        <v>68</v>
      </c>
    </row>
    <row r="12" spans="1:8" x14ac:dyDescent="0.2">
      <c r="A12" s="58" t="s">
        <v>69</v>
      </c>
      <c r="B12" s="58" t="s">
        <v>70</v>
      </c>
      <c r="C12" s="58" t="s">
        <v>55</v>
      </c>
      <c r="D12" s="58" t="s">
        <v>54</v>
      </c>
      <c r="E12" s="58" t="s">
        <v>65</v>
      </c>
      <c r="F12" s="58" t="s">
        <v>53</v>
      </c>
      <c r="G12" s="58" t="s">
        <v>52</v>
      </c>
      <c r="H12" s="58" t="s">
        <v>71</v>
      </c>
    </row>
    <row r="13" spans="1:8" x14ac:dyDescent="0.2">
      <c r="A13" s="66">
        <v>44013</v>
      </c>
      <c r="B13" s="67">
        <f>A13</f>
        <v>44013</v>
      </c>
      <c r="C13" s="58">
        <f>IF($H$5="全部",SUMIF('拌客源数据1-8月'!$A:$A,$A13,INDEX('拌客源数据1-8月'!$A:$X,0,MATCH(C$12,'拌客源数据1-8月'!$1:$1,0))), SUMIFS(INDEX('拌客源数据1-8月'!$A:$X,0,MATCH(C$12,'拌客源数据1-8月'!$1:$1,0)),'拌客源数据1-8月'!$A:$A,$A13,'拌客源数据1-8月'!$H:$H,$H$5))</f>
        <v>6001.38</v>
      </c>
      <c r="D13" s="58">
        <f>IF($H$5="全部",SUMIF('拌客源数据1-8月'!$A:$A,$A13,INDEX('拌客源数据1-8月'!$A:$X,0,MATCH(D$12,'拌客源数据1-8月'!$1:$1,0))), SUMIFS(INDEX('拌客源数据1-8月'!$A:$X,0,MATCH(D$12,'拌客源数据1-8月'!$1:$1,0)),'拌客源数据1-8月'!$A:$A,$A13,'拌客源数据1-8月'!$H:$H,$H$5))</f>
        <v>2078.12</v>
      </c>
      <c r="E13" s="69"/>
      <c r="F13" s="58">
        <f>IF($H$5="全部",SUMIF('拌客源数据1-8月'!$A:$A,$A13,INDEX('拌客源数据1-8月'!$A:$X,0,MATCH(F$12,'拌客源数据1-8月'!$1:$1,0))), SUMIFS(INDEX('拌客源数据1-8月'!$A:$X,0,MATCH(F$12,'拌客源数据1-8月'!$1:$1,0)),'拌客源数据1-8月'!$A:$A,$A13,'拌客源数据1-8月'!$H:$H,$H$5))</f>
        <v>113</v>
      </c>
      <c r="G13" s="58">
        <f>IF($H$5="全部",SUMIF('拌客源数据1-8月'!$A:$A,$A13,INDEX('拌客源数据1-8月'!$A:$X,0,MATCH(G$12,'拌客源数据1-8月'!$1:$1,0))), SUMIFS(INDEX('拌客源数据1-8月'!$A:$X,0,MATCH(G$12,'拌客源数据1-8月'!$1:$1,0)),'拌客源数据1-8月'!$A:$A,$A13,'拌客源数据1-8月'!$H:$H,$H$5))</f>
        <v>2</v>
      </c>
      <c r="H13" s="77">
        <f>C13/F13</f>
        <v>53.109557522123893</v>
      </c>
    </row>
    <row r="14" spans="1:8" x14ac:dyDescent="0.2">
      <c r="A14" s="66">
        <f>A13+1</f>
        <v>44014</v>
      </c>
      <c r="B14" s="67">
        <f t="shared" ref="B14:B19" si="0">A14</f>
        <v>44014</v>
      </c>
      <c r="C14" s="58">
        <f>IF($H$5="全部",SUMIF('拌客源数据1-8月'!$A:$A,$A14,INDEX('拌客源数据1-8月'!$A:$X,0,MATCH(C$12,'拌客源数据1-8月'!$1:$1,0))), SUMIFS(INDEX('拌客源数据1-8月'!$A:$X,0,MATCH(C$12,'拌客源数据1-8月'!$1:$1,0)),'拌客源数据1-8月'!$A:$A,$A14,'拌客源数据1-8月'!$H:$H,$H$5))</f>
        <v>7224.76</v>
      </c>
      <c r="D14" s="58">
        <f>IF($H$5="全部",SUMIF('拌客源数据1-8月'!$A:$A,$A14,INDEX('拌客源数据1-8月'!$A:$X,0,MATCH(D$12,'拌客源数据1-8月'!$1:$1,0))), SUMIFS(INDEX('拌客源数据1-8月'!$A:$X,0,MATCH(D$12,'拌客源数据1-8月'!$1:$1,0)),'拌客源数据1-8月'!$A:$A,$A14,'拌客源数据1-8月'!$H:$H,$H$5))</f>
        <v>2465.41</v>
      </c>
      <c r="E14" s="69">
        <f>D14/C14</f>
        <v>0.3412445534522946</v>
      </c>
      <c r="F14" s="58">
        <f>IF($H$5="全部",SUMIF('拌客源数据1-8月'!$A:$A,$A14,INDEX('拌客源数据1-8月'!$A:$X,0,MATCH(F$12,'拌客源数据1-8月'!$1:$1,0))), SUMIFS(INDEX('拌客源数据1-8月'!$A:$X,0,MATCH(F$12,'拌客源数据1-8月'!$1:$1,0)),'拌客源数据1-8月'!$A:$A,$A14,'拌客源数据1-8月'!$H:$H,$H$5))</f>
        <v>137</v>
      </c>
      <c r="G14" s="58">
        <f>IF($H$5="全部",SUMIF('拌客源数据1-8月'!$A:$A,$A14,INDEX('拌客源数据1-8月'!$A:$X,0,MATCH(G$12,'拌客源数据1-8月'!$1:$1,0))), SUMIFS(INDEX('拌客源数据1-8月'!$A:$X,0,MATCH(G$12,'拌客源数据1-8月'!$1:$1,0)),'拌客源数据1-8月'!$A:$A,$A14,'拌客源数据1-8月'!$H:$H,$H$5))</f>
        <v>2</v>
      </c>
      <c r="H14" s="77">
        <f t="shared" ref="H14:H19" si="1">C14/F14</f>
        <v>52.735474452554747</v>
      </c>
    </row>
    <row r="15" spans="1:8" x14ac:dyDescent="0.2">
      <c r="A15" s="66">
        <f t="shared" ref="A15:A19" si="2">A14+1</f>
        <v>44015</v>
      </c>
      <c r="B15" s="67">
        <f t="shared" si="0"/>
        <v>44015</v>
      </c>
      <c r="C15" s="58">
        <f>IF($H$5="全部",SUMIF('拌客源数据1-8月'!$A:$A,$A15,INDEX('拌客源数据1-8月'!$A:$X,0,MATCH(C$12,'拌客源数据1-8月'!$1:$1,0))), SUMIFS(INDEX('拌客源数据1-8月'!$A:$X,0,MATCH(C$12,'拌客源数据1-8月'!$1:$1,0)),'拌客源数据1-8月'!$A:$A,$A15,'拌客源数据1-8月'!$H:$H,$H$5))</f>
        <v>5285.44</v>
      </c>
      <c r="D15" s="58">
        <f>IF($H$5="全部",SUMIF('拌客源数据1-8月'!$A:$A,$A15,INDEX('拌客源数据1-8月'!$A:$X,0,MATCH(D$12,'拌客源数据1-8月'!$1:$1,0))), SUMIFS(INDEX('拌客源数据1-8月'!$A:$X,0,MATCH(D$12,'拌客源数据1-8月'!$1:$1,0)),'拌客源数据1-8月'!$A:$A,$A15,'拌客源数据1-8月'!$H:$H,$H$5))</f>
        <v>1702.95</v>
      </c>
      <c r="E15" s="69">
        <f t="shared" ref="E15:E18" si="3">D15/C15</f>
        <v>0.32219644911303508</v>
      </c>
      <c r="F15" s="58">
        <f>IF($H$5="全部",SUMIF('拌客源数据1-8月'!$A:$A,$A15,INDEX('拌客源数据1-8月'!$A:$X,0,MATCH(F$12,'拌客源数据1-8月'!$1:$1,0))), SUMIFS(INDEX('拌客源数据1-8月'!$A:$X,0,MATCH(F$12,'拌客源数据1-8月'!$1:$1,0)),'拌客源数据1-8月'!$A:$A,$A15,'拌客源数据1-8月'!$H:$H,$H$5))</f>
        <v>107</v>
      </c>
      <c r="G15" s="58">
        <f>IF($H$5="全部",SUMIF('拌客源数据1-8月'!$A:$A,$A15,INDEX('拌客源数据1-8月'!$A:$X,0,MATCH(G$12,'拌客源数据1-8月'!$1:$1,0))), SUMIFS(INDEX('拌客源数据1-8月'!$A:$X,0,MATCH(G$12,'拌客源数据1-8月'!$1:$1,0)),'拌客源数据1-8月'!$A:$A,$A15,'拌客源数据1-8月'!$H:$H,$H$5))</f>
        <v>0</v>
      </c>
      <c r="H15" s="77">
        <f>C15/F15</f>
        <v>49.396635514018691</v>
      </c>
    </row>
    <row r="16" spans="1:8" x14ac:dyDescent="0.2">
      <c r="A16" s="66">
        <f t="shared" si="2"/>
        <v>44016</v>
      </c>
      <c r="B16" s="67">
        <f t="shared" si="0"/>
        <v>44016</v>
      </c>
      <c r="C16" s="58">
        <f>IF($H$5="全部",SUMIF('拌客源数据1-8月'!$A:$A,$A16,INDEX('拌客源数据1-8月'!$A:$X,0,MATCH(C$12,'拌客源数据1-8月'!$1:$1,0))), SUMIFS(INDEX('拌客源数据1-8月'!$A:$X,0,MATCH(C$12,'拌客源数据1-8月'!$1:$1,0)),'拌客源数据1-8月'!$A:$A,$A16,'拌客源数据1-8月'!$H:$H,$H$5))</f>
        <v>5125.88</v>
      </c>
      <c r="D16" s="58">
        <f>IF($H$5="全部",SUMIF('拌客源数据1-8月'!$A:$A,$A16,INDEX('拌客源数据1-8月'!$A:$X,0,MATCH(D$12,'拌客源数据1-8月'!$1:$1,0))), SUMIFS(INDEX('拌客源数据1-8月'!$A:$X,0,MATCH(D$12,'拌客源数据1-8月'!$1:$1,0)),'拌客源数据1-8月'!$A:$A,$A16,'拌客源数据1-8月'!$H:$H,$H$5))</f>
        <v>1820.1000000000001</v>
      </c>
      <c r="E16" s="69">
        <f t="shared" si="3"/>
        <v>0.35508049349575099</v>
      </c>
      <c r="F16" s="58">
        <f>IF($H$5="全部",SUMIF('拌客源数据1-8月'!$A:$A,$A16,INDEX('拌客源数据1-8月'!$A:$X,0,MATCH(F$12,'拌客源数据1-8月'!$1:$1,0))), SUMIFS(INDEX('拌客源数据1-8月'!$A:$X,0,MATCH(F$12,'拌客源数据1-8月'!$1:$1,0)),'拌客源数据1-8月'!$A:$A,$A16,'拌客源数据1-8月'!$H:$H,$H$5))</f>
        <v>91</v>
      </c>
      <c r="G16" s="58">
        <f>IF($H$5="全部",SUMIF('拌客源数据1-8月'!$A:$A,$A16,INDEX('拌客源数据1-8月'!$A:$X,0,MATCH(G$12,'拌客源数据1-8月'!$1:$1,0))), SUMIFS(INDEX('拌客源数据1-8月'!$A:$X,0,MATCH(G$12,'拌客源数据1-8月'!$1:$1,0)),'拌客源数据1-8月'!$A:$A,$A16,'拌客源数据1-8月'!$H:$H,$H$5))</f>
        <v>0</v>
      </c>
      <c r="H16" s="77">
        <f t="shared" si="1"/>
        <v>56.328351648351649</v>
      </c>
    </row>
    <row r="17" spans="1:8" x14ac:dyDescent="0.2">
      <c r="A17" s="66">
        <f t="shared" si="2"/>
        <v>44017</v>
      </c>
      <c r="B17" s="67">
        <f t="shared" si="0"/>
        <v>44017</v>
      </c>
      <c r="C17" s="58">
        <f>IF($H$5="全部",SUMIF('拌客源数据1-8月'!$A:$A,$A17,INDEX('拌客源数据1-8月'!$A:$X,0,MATCH(C$12,'拌客源数据1-8月'!$1:$1,0))), SUMIFS(INDEX('拌客源数据1-8月'!$A:$X,0,MATCH(C$12,'拌客源数据1-8月'!$1:$1,0)),'拌客源数据1-8月'!$A:$A,$A17,'拌客源数据1-8月'!$H:$H,$H$5))</f>
        <v>4373.78</v>
      </c>
      <c r="D17" s="58">
        <f>IF($H$5="全部",SUMIF('拌客源数据1-8月'!$A:$A,$A17,INDEX('拌客源数据1-8月'!$A:$X,0,MATCH(D$12,'拌客源数据1-8月'!$1:$1,0))), SUMIFS(INDEX('拌客源数据1-8月'!$A:$X,0,MATCH(D$12,'拌客源数据1-8月'!$1:$1,0)),'拌客源数据1-8月'!$A:$A,$A17,'拌客源数据1-8月'!$H:$H,$H$5))</f>
        <v>1491.92</v>
      </c>
      <c r="E17" s="69">
        <f t="shared" si="3"/>
        <v>0.34110540539304679</v>
      </c>
      <c r="F17" s="58">
        <f>IF($H$5="全部",SUMIF('拌客源数据1-8月'!$A:$A,$A17,INDEX('拌客源数据1-8月'!$A:$X,0,MATCH(F$12,'拌客源数据1-8月'!$1:$1,0))), SUMIFS(INDEX('拌客源数据1-8月'!$A:$X,0,MATCH(F$12,'拌客源数据1-8月'!$1:$1,0)),'拌客源数据1-8月'!$A:$A,$A17,'拌客源数据1-8月'!$H:$H,$H$5))</f>
        <v>80</v>
      </c>
      <c r="G17" s="58">
        <f>IF($H$5="全部",SUMIF('拌客源数据1-8月'!$A:$A,$A17,INDEX('拌客源数据1-8月'!$A:$X,0,MATCH(G$12,'拌客源数据1-8月'!$1:$1,0))), SUMIFS(INDEX('拌客源数据1-8月'!$A:$X,0,MATCH(G$12,'拌客源数据1-8月'!$1:$1,0)),'拌客源数据1-8月'!$A:$A,$A17,'拌客源数据1-8月'!$H:$H,$H$5))</f>
        <v>4</v>
      </c>
      <c r="H17" s="77">
        <f t="shared" si="1"/>
        <v>54.672249999999998</v>
      </c>
    </row>
    <row r="18" spans="1:8" x14ac:dyDescent="0.2">
      <c r="A18" s="66">
        <f t="shared" si="2"/>
        <v>44018</v>
      </c>
      <c r="B18" s="67">
        <f t="shared" si="0"/>
        <v>44018</v>
      </c>
      <c r="C18" s="58">
        <f>IF($H$5="全部",SUMIF('拌客源数据1-8月'!$A:$A,$A18,INDEX('拌客源数据1-8月'!$A:$X,0,MATCH(C$12,'拌客源数据1-8月'!$1:$1,0))), SUMIFS(INDEX('拌客源数据1-8月'!$A:$X,0,MATCH(C$12,'拌客源数据1-8月'!$1:$1,0)),'拌客源数据1-8月'!$A:$A,$A18,'拌客源数据1-8月'!$H:$H,$H$5))</f>
        <v>2150.3200000000002</v>
      </c>
      <c r="D18" s="58">
        <f>IF($H$5="全部",SUMIF('拌客源数据1-8月'!$A:$A,$A18,INDEX('拌客源数据1-8月'!$A:$X,0,MATCH(D$12,'拌客源数据1-8月'!$1:$1,0))), SUMIFS(INDEX('拌客源数据1-8月'!$A:$X,0,MATCH(D$12,'拌客源数据1-8月'!$1:$1,0)),'拌客源数据1-8月'!$A:$A,$A18,'拌客源数据1-8月'!$H:$H,$H$5))</f>
        <v>812.27</v>
      </c>
      <c r="E18" s="69">
        <f t="shared" si="3"/>
        <v>0.37774377767030021</v>
      </c>
      <c r="F18" s="58">
        <f>IF($H$5="全部",SUMIF('拌客源数据1-8月'!$A:$A,$A18,INDEX('拌客源数据1-8月'!$A:$X,0,MATCH(F$12,'拌客源数据1-8月'!$1:$1,0))), SUMIFS(INDEX('拌客源数据1-8月'!$A:$X,0,MATCH(F$12,'拌客源数据1-8月'!$1:$1,0)),'拌客源数据1-8月'!$A:$A,$A18,'拌客源数据1-8月'!$H:$H,$H$5))</f>
        <v>35</v>
      </c>
      <c r="G18" s="58">
        <f>IF($H$5="全部",SUMIF('拌客源数据1-8月'!$A:$A,$A18,INDEX('拌客源数据1-8月'!$A:$X,0,MATCH(G$12,'拌客源数据1-8月'!$1:$1,0))), SUMIFS(INDEX('拌客源数据1-8月'!$A:$X,0,MATCH(G$12,'拌客源数据1-8月'!$1:$1,0)),'拌客源数据1-8月'!$A:$A,$A18,'拌客源数据1-8月'!$H:$H,$H$5))</f>
        <v>0</v>
      </c>
      <c r="H18" s="77">
        <f t="shared" si="1"/>
        <v>61.437714285714293</v>
      </c>
    </row>
    <row r="19" spans="1:8" x14ac:dyDescent="0.2">
      <c r="A19" s="66">
        <f t="shared" si="2"/>
        <v>44019</v>
      </c>
      <c r="B19" s="67">
        <f t="shared" si="0"/>
        <v>44019</v>
      </c>
      <c r="C19" s="58">
        <f>IF($H$5="全部",SUMIF('拌客源数据1-8月'!$A:$A,$A19,INDEX('拌客源数据1-8月'!$A:$X,0,MATCH(C$12,'拌客源数据1-8月'!$1:$1,0))), SUMIFS(INDEX('拌客源数据1-8月'!$A:$X,0,MATCH(C$12,'拌客源数据1-8月'!$1:$1,0)),'拌客源数据1-8月'!$A:$A,$A19,'拌客源数据1-8月'!$H:$H,$H$5))</f>
        <v>4764.71</v>
      </c>
      <c r="D19" s="58">
        <f>IF($H$5="全部",SUMIF('拌客源数据1-8月'!$A:$A,$A19,INDEX('拌客源数据1-8月'!$A:$X,0,MATCH(D$12,'拌客源数据1-8月'!$1:$1,0))), SUMIFS(INDEX('拌客源数据1-8月'!$A:$X,0,MATCH(D$12,'拌客源数据1-8月'!$1:$1,0)),'拌客源数据1-8月'!$A:$A,$A19,'拌客源数据1-8月'!$H:$H,$H$5))</f>
        <v>1651.46</v>
      </c>
      <c r="E19" s="69">
        <f>D19/C19</f>
        <v>0.3466024165164302</v>
      </c>
      <c r="F19" s="58">
        <f>IF($H$5="全部",SUMIF('拌客源数据1-8月'!$A:$A,$A19,INDEX('拌客源数据1-8月'!$A:$X,0,MATCH(F$12,'拌客源数据1-8月'!$1:$1,0))), SUMIFS(INDEX('拌客源数据1-8月'!$A:$X,0,MATCH(F$12,'拌客源数据1-8月'!$1:$1,0)),'拌客源数据1-8月'!$A:$A,$A19,'拌客源数据1-8月'!$H:$H,$H$5))</f>
        <v>87</v>
      </c>
      <c r="G19" s="58">
        <f>IF($H$5="全部",SUMIF('拌客源数据1-8月'!$A:$A,$A19,INDEX('拌客源数据1-8月'!$A:$X,0,MATCH(G$12,'拌客源数据1-8月'!$1:$1,0))), SUMIFS(INDEX('拌客源数据1-8月'!$A:$X,0,MATCH(G$12,'拌客源数据1-8月'!$1:$1,0)),'拌客源数据1-8月'!$A:$A,$A19,'拌客源数据1-8月'!$H:$H,$H$5))</f>
        <v>0</v>
      </c>
      <c r="H19" s="77">
        <f t="shared" si="1"/>
        <v>54.766781609195405</v>
      </c>
    </row>
    <row r="20" spans="1:8" x14ac:dyDescent="0.2">
      <c r="A20" s="58" t="s">
        <v>72</v>
      </c>
      <c r="C20" s="58">
        <f>SUM(C13:C19)</f>
        <v>34926.269999999997</v>
      </c>
      <c r="D20" s="58">
        <f t="shared" ref="D20:G20" si="4">SUM(D13:D19)</f>
        <v>12022.23</v>
      </c>
      <c r="E20" s="69">
        <f>D20/C20</f>
        <v>0.34421740426332387</v>
      </c>
      <c r="F20" s="58">
        <f t="shared" si="4"/>
        <v>650</v>
      </c>
      <c r="G20" s="58">
        <f t="shared" si="4"/>
        <v>8</v>
      </c>
      <c r="H20" s="77">
        <f>C20/F20</f>
        <v>53.732723076923072</v>
      </c>
    </row>
    <row r="23" spans="1:8" ht="18" x14ac:dyDescent="0.2">
      <c r="A23" s="70" t="s">
        <v>73</v>
      </c>
      <c r="C23" s="58" t="s">
        <v>68</v>
      </c>
    </row>
    <row r="24" spans="1:8" x14ac:dyDescent="0.2">
      <c r="A24" s="58" t="s">
        <v>69</v>
      </c>
      <c r="B24" s="58" t="s">
        <v>70</v>
      </c>
      <c r="C24" s="58" t="s">
        <v>59</v>
      </c>
      <c r="D24" s="58" t="s">
        <v>74</v>
      </c>
      <c r="E24" s="58" t="s">
        <v>60</v>
      </c>
      <c r="F24" s="58" t="s">
        <v>75</v>
      </c>
      <c r="G24" s="58" t="s">
        <v>61</v>
      </c>
      <c r="H24" s="58" t="s">
        <v>76</v>
      </c>
    </row>
    <row r="25" spans="1:8" x14ac:dyDescent="0.2">
      <c r="A25" s="66">
        <f>A13</f>
        <v>44013</v>
      </c>
      <c r="B25" s="67">
        <f>A13</f>
        <v>44013</v>
      </c>
      <c r="C25" s="58">
        <f>IF($H$5="全部",SUMIF('拌客源数据1-8月'!$A:$A,$A25,INDEX('拌客源数据1-8月'!$A:$X,0,MATCH(C$24,'拌客源数据1-8月'!$1:$1,0))), SUMIFS(INDEX('拌客源数据1-8月'!$A:$X,0,MATCH(C$24,'拌客源数据1-8月'!$1:$1,0)),'拌客源数据1-8月'!$A:$A,$A25,'拌客源数据1-8月'!$H:$H,$H$5))</f>
        <v>7069</v>
      </c>
      <c r="D25" s="58">
        <f>IF($H$5="全部",SUMIF('拌客源数据1-8月'!$A:$A,$A25,INDEX('拌客源数据1-8月'!$A:$X,0,MATCH(D$24,'拌客源数据1-8月'!$1:$1,0))), SUMIFS(INDEX('拌客源数据1-8月'!$A:$X,0,MATCH(D$24,'拌客源数据1-8月'!$1:$1,0)),'拌客源数据1-8月'!$A:$A,$A25,'拌客源数据1-8月'!$H:$H,$H$5))</f>
        <v>404</v>
      </c>
      <c r="E25" s="69">
        <f>D25/C25</f>
        <v>5.7150940727118404E-2</v>
      </c>
      <c r="F25" s="58">
        <f>IF($H$5="全部",SUMIF('拌客源数据1-8月'!$A:$A,$A25,INDEX('拌客源数据1-8月'!$A:$X,0,MATCH(F$24,'拌客源数据1-8月'!$1:$1,0))), SUMIFS(INDEX('拌客源数据1-8月'!$A:$X,0,MATCH(F$24,'拌客源数据1-8月'!$1:$1,0)),'拌客源数据1-8月'!$A:$A,$A25,'拌客源数据1-8月'!$H:$H,$H$5))</f>
        <v>109</v>
      </c>
      <c r="G25" s="69">
        <f>F25/D25</f>
        <v>0.26980198019801982</v>
      </c>
      <c r="H25" s="69">
        <f>(IF($H$5="全部",SUMIF('拌客源数据1-8月'!$A:$A,$A13,INDEX('拌客源数据1-8月'!$A:$X,0,MATCH("cpc总费用",'拌客源数据1-8月'!$1:$1,0))), SUMIFS(INDEX('拌客源数据1-8月'!$A:$X,0,MATCH("cpc总费用",'拌客源数据1-8月'!$1:$1,0)),'拌客源数据1-8月'!$A:$A,$A13,'拌客源数据1-8月'!$H:$H,$H$5)))/C13</f>
        <v>3.6779873962321998E-2</v>
      </c>
    </row>
    <row r="26" spans="1:8" x14ac:dyDescent="0.2">
      <c r="A26" s="66">
        <f t="shared" ref="A26:A31" si="5">A14</f>
        <v>44014</v>
      </c>
      <c r="B26" s="67">
        <f t="shared" ref="B26:B31" si="6">A14</f>
        <v>44014</v>
      </c>
      <c r="C26" s="58">
        <f>IF($H$5="全部",SUMIF('拌客源数据1-8月'!$A:$A,$A26,INDEX('拌客源数据1-8月'!$A:$X,0,MATCH(C$24,'拌客源数据1-8月'!$1:$1,0))), SUMIFS(INDEX('拌客源数据1-8月'!$A:$X,0,MATCH(C$24,'拌客源数据1-8月'!$1:$1,0)),'拌客源数据1-8月'!$A:$A,$A26,'拌客源数据1-8月'!$H:$H,$H$5))</f>
        <v>7913</v>
      </c>
      <c r="D26" s="58">
        <f>IF($H$5="全部",SUMIF('拌客源数据1-8月'!$A:$A,$A26,INDEX('拌客源数据1-8月'!$A:$X,0,MATCH(D$24,'拌客源数据1-8月'!$1:$1,0))), SUMIFS(INDEX('拌客源数据1-8月'!$A:$X,0,MATCH(D$24,'拌客源数据1-8月'!$1:$1,0)),'拌客源数据1-8月'!$A:$A,$A26,'拌客源数据1-8月'!$H:$H,$H$5))</f>
        <v>486</v>
      </c>
      <c r="E26" s="69">
        <f t="shared" ref="E26:E32" si="7">D26/C26</f>
        <v>6.141791987868065E-2</v>
      </c>
      <c r="F26" s="58">
        <f>IF($H$5="全部",SUMIF('拌客源数据1-8月'!$A:$A,$A26,INDEX('拌客源数据1-8月'!$A:$X,0,MATCH(F$24,'拌客源数据1-8月'!$1:$1,0))), SUMIFS(INDEX('拌客源数据1-8月'!$A:$X,0,MATCH(F$24,'拌客源数据1-8月'!$1:$1,0)),'拌客源数据1-8月'!$A:$A,$A26,'拌客源数据1-8月'!$H:$H,$H$5))</f>
        <v>132</v>
      </c>
      <c r="G26" s="69">
        <f t="shared" ref="G26:G32" si="8">F26/D26</f>
        <v>0.27160493827160492</v>
      </c>
      <c r="H26" s="69">
        <f>(IF($H$5="全部",SUMIF('拌客源数据1-8月'!$A:$A,$A14,INDEX('拌客源数据1-8月'!$A:$X,0,MATCH("cpc总费用",'拌客源数据1-8月'!$1:$1,0))), SUMIFS(INDEX('拌客源数据1-8月'!$A:$X,0,MATCH("cpc总费用",'拌客源数据1-8月'!$1:$1,0)),'拌客源数据1-8月'!$A:$A,$A14,'拌客源数据1-8月'!$H:$H,$H$5)))/C14</f>
        <v>3.2877216682630286E-2</v>
      </c>
    </row>
    <row r="27" spans="1:8" x14ac:dyDescent="0.2">
      <c r="A27" s="66">
        <f t="shared" si="5"/>
        <v>44015</v>
      </c>
      <c r="B27" s="67">
        <f t="shared" si="6"/>
        <v>44015</v>
      </c>
      <c r="C27" s="58">
        <f>IF($H$5="全部",SUMIF('拌客源数据1-8月'!$A:$A,$A27,INDEX('拌客源数据1-8月'!$A:$X,0,MATCH(C$24,'拌客源数据1-8月'!$1:$1,0))), SUMIFS(INDEX('拌客源数据1-8月'!$A:$X,0,MATCH(C$24,'拌客源数据1-8月'!$1:$1,0)),'拌客源数据1-8月'!$A:$A,$A27,'拌客源数据1-8月'!$H:$H,$H$5))</f>
        <v>7459</v>
      </c>
      <c r="D27" s="58">
        <f>IF($H$5="全部",SUMIF('拌客源数据1-8月'!$A:$A,$A27,INDEX('拌客源数据1-8月'!$A:$X,0,MATCH(D$24,'拌客源数据1-8月'!$1:$1,0))), SUMIFS(INDEX('拌客源数据1-8月'!$A:$X,0,MATCH(D$24,'拌客源数据1-8月'!$1:$1,0)),'拌客源数据1-8月'!$A:$A,$A27,'拌客源数据1-8月'!$H:$H,$H$5))</f>
        <v>438</v>
      </c>
      <c r="E27" s="69">
        <f t="shared" si="7"/>
        <v>5.8721008178039949E-2</v>
      </c>
      <c r="F27" s="58">
        <f>IF($H$5="全部",SUMIF('拌客源数据1-8月'!$A:$A,$A27,INDEX('拌客源数据1-8月'!$A:$X,0,MATCH(F$24,'拌客源数据1-8月'!$1:$1,0))), SUMIFS(INDEX('拌客源数据1-8月'!$A:$X,0,MATCH(F$24,'拌客源数据1-8月'!$1:$1,0)),'拌客源数据1-8月'!$A:$A,$A27,'拌客源数据1-8月'!$H:$H,$H$5))</f>
        <v>103</v>
      </c>
      <c r="G27" s="69">
        <f t="shared" si="8"/>
        <v>0.23515981735159816</v>
      </c>
      <c r="H27" s="69">
        <f>(IF($H$5="全部",SUMIF('拌客源数据1-8月'!$A:$A,$A15,INDEX('拌客源数据1-8月'!$A:$X,0,MATCH("cpc总费用",'拌客源数据1-8月'!$1:$1,0))), SUMIFS(INDEX('拌客源数据1-8月'!$A:$X,0,MATCH("cpc总费用",'拌客源数据1-8月'!$1:$1,0)),'拌客源数据1-8月'!$A:$A,$A15,'拌客源数据1-8月'!$H:$H,$H$5)))/C15</f>
        <v>4.4124992432039718E-2</v>
      </c>
    </row>
    <row r="28" spans="1:8" x14ac:dyDescent="0.2">
      <c r="A28" s="66">
        <f t="shared" si="5"/>
        <v>44016</v>
      </c>
      <c r="B28" s="67">
        <f t="shared" si="6"/>
        <v>44016</v>
      </c>
      <c r="C28" s="58">
        <f>IF($H$5="全部",SUMIF('拌客源数据1-8月'!$A:$A,$A28,INDEX('拌客源数据1-8月'!$A:$X,0,MATCH(C$24,'拌客源数据1-8月'!$1:$1,0))), SUMIFS(INDEX('拌客源数据1-8月'!$A:$X,0,MATCH(C$24,'拌客源数据1-8月'!$1:$1,0)),'拌客源数据1-8月'!$A:$A,$A28,'拌客源数据1-8月'!$H:$H,$H$5))</f>
        <v>7371</v>
      </c>
      <c r="D28" s="58">
        <f>IF($H$5="全部",SUMIF('拌客源数据1-8月'!$A:$A,$A28,INDEX('拌客源数据1-8月'!$A:$X,0,MATCH(D$24,'拌客源数据1-8月'!$1:$1,0))), SUMIFS(INDEX('拌客源数据1-8月'!$A:$X,0,MATCH(D$24,'拌客源数据1-8月'!$1:$1,0)),'拌客源数据1-8月'!$A:$A,$A28,'拌客源数据1-8月'!$H:$H,$H$5))</f>
        <v>388</v>
      </c>
      <c r="E28" s="69">
        <f t="shared" si="7"/>
        <v>5.2638719305385974E-2</v>
      </c>
      <c r="F28" s="58">
        <f>IF($H$5="全部",SUMIF('拌客源数据1-8月'!$A:$A,$A28,INDEX('拌客源数据1-8月'!$A:$X,0,MATCH(F$24,'拌客源数据1-8月'!$1:$1,0))), SUMIFS(INDEX('拌客源数据1-8月'!$A:$X,0,MATCH(F$24,'拌客源数据1-8月'!$1:$1,0)),'拌客源数据1-8月'!$A:$A,$A28,'拌客源数据1-8月'!$H:$H,$H$5))</f>
        <v>85</v>
      </c>
      <c r="G28" s="69">
        <f t="shared" si="8"/>
        <v>0.21907216494845361</v>
      </c>
      <c r="H28" s="69">
        <f>(IF($H$5="全部",SUMIF('拌客源数据1-8月'!$A:$A,$A16,INDEX('拌客源数据1-8月'!$A:$X,0,MATCH("cpc总费用",'拌客源数据1-8月'!$1:$1,0))), SUMIFS(INDEX('拌客源数据1-8月'!$A:$X,0,MATCH("cpc总费用",'拌客源数据1-8月'!$1:$1,0)),'拌客源数据1-8月'!$A:$A,$A16,'拌客源数据1-8月'!$H:$H,$H$5)))/C16</f>
        <v>6.0321349699953966E-2</v>
      </c>
    </row>
    <row r="29" spans="1:8" x14ac:dyDescent="0.2">
      <c r="A29" s="66">
        <f t="shared" si="5"/>
        <v>44017</v>
      </c>
      <c r="B29" s="67">
        <f t="shared" si="6"/>
        <v>44017</v>
      </c>
      <c r="C29" s="58">
        <f>IF($H$5="全部",SUMIF('拌客源数据1-8月'!$A:$A,$A29,INDEX('拌客源数据1-8月'!$A:$X,0,MATCH(C$24,'拌客源数据1-8月'!$1:$1,0))), SUMIFS(INDEX('拌客源数据1-8月'!$A:$X,0,MATCH(C$24,'拌客源数据1-8月'!$1:$1,0)),'拌客源数据1-8月'!$A:$A,$A29,'拌客源数据1-8月'!$H:$H,$H$5))</f>
        <v>7289</v>
      </c>
      <c r="D29" s="58">
        <f>IF($H$5="全部",SUMIF('拌客源数据1-8月'!$A:$A,$A29,INDEX('拌客源数据1-8月'!$A:$X,0,MATCH(D$24,'拌客源数据1-8月'!$1:$1,0))), SUMIFS(INDEX('拌客源数据1-8月'!$A:$X,0,MATCH(D$24,'拌客源数据1-8月'!$1:$1,0)),'拌客源数据1-8月'!$A:$A,$A29,'拌客源数据1-8月'!$H:$H,$H$5))</f>
        <v>429</v>
      </c>
      <c r="E29" s="69">
        <f t="shared" si="7"/>
        <v>5.8855810124845656E-2</v>
      </c>
      <c r="F29" s="58">
        <f>IF($H$5="全部",SUMIF('拌客源数据1-8月'!$A:$A,$A29,INDEX('拌客源数据1-8月'!$A:$X,0,MATCH(F$24,'拌客源数据1-8月'!$1:$1,0))), SUMIFS(INDEX('拌客源数据1-8月'!$A:$X,0,MATCH(F$24,'拌客源数据1-8月'!$1:$1,0)),'拌客源数据1-8月'!$A:$A,$A29,'拌客源数据1-8月'!$H:$H,$H$5))</f>
        <v>79</v>
      </c>
      <c r="G29" s="69">
        <f t="shared" si="8"/>
        <v>0.18414918414918416</v>
      </c>
      <c r="H29" s="69">
        <f>(IF($H$5="全部",SUMIF('拌客源数据1-8月'!$A:$A,$A17,INDEX('拌客源数据1-8月'!$A:$X,0,MATCH("cpc总费用",'拌客源数据1-8月'!$1:$1,0))), SUMIFS(INDEX('拌客源数据1-8月'!$A:$X,0,MATCH("cpc总费用",'拌客源数据1-8月'!$1:$1,0)),'拌客源数据1-8月'!$A:$A,$A17,'拌客源数据1-8月'!$H:$H,$H$5)))/C17</f>
        <v>4.6993675950779426E-2</v>
      </c>
    </row>
    <row r="30" spans="1:8" x14ac:dyDescent="0.2">
      <c r="A30" s="66">
        <f t="shared" si="5"/>
        <v>44018</v>
      </c>
      <c r="B30" s="67">
        <f t="shared" si="6"/>
        <v>44018</v>
      </c>
      <c r="C30" s="58">
        <f>IF($H$5="全部",SUMIF('拌客源数据1-8月'!$A:$A,$A30,INDEX('拌客源数据1-8月'!$A:$X,0,MATCH(C$24,'拌客源数据1-8月'!$1:$1,0))), SUMIFS(INDEX('拌客源数据1-8月'!$A:$X,0,MATCH(C$24,'拌客源数据1-8月'!$1:$1,0)),'拌客源数据1-8月'!$A:$A,$A30,'拌客源数据1-8月'!$H:$H,$H$5))</f>
        <v>2263</v>
      </c>
      <c r="D30" s="58">
        <f>IF($H$5="全部",SUMIF('拌客源数据1-8月'!$A:$A,$A30,INDEX('拌客源数据1-8月'!$A:$X,0,MATCH(D$24,'拌客源数据1-8月'!$1:$1,0))), SUMIFS(INDEX('拌客源数据1-8月'!$A:$X,0,MATCH(D$24,'拌客源数据1-8月'!$1:$1,0)),'拌客源数据1-8月'!$A:$A,$A30,'拌客源数据1-8月'!$H:$H,$H$5))</f>
        <v>160</v>
      </c>
      <c r="E30" s="69">
        <f t="shared" si="7"/>
        <v>7.0702607158638978E-2</v>
      </c>
      <c r="F30" s="58">
        <f>IF($H$5="全部",SUMIF('拌客源数据1-8月'!$A:$A,$A30,INDEX('拌客源数据1-8月'!$A:$X,0,MATCH(F$24,'拌客源数据1-8月'!$1:$1,0))), SUMIFS(INDEX('拌客源数据1-8月'!$A:$X,0,MATCH(F$24,'拌客源数据1-8月'!$1:$1,0)),'拌客源数据1-8月'!$A:$A,$A30,'拌客源数据1-8月'!$H:$H,$H$5))</f>
        <v>34</v>
      </c>
      <c r="G30" s="69">
        <f t="shared" si="8"/>
        <v>0.21249999999999999</v>
      </c>
      <c r="H30" s="69">
        <f>(IF($H$5="全部",SUMIF('拌客源数据1-8月'!$A:$A,$A18,INDEX('拌客源数据1-8月'!$A:$X,0,MATCH("cpc总费用",'拌客源数据1-8月'!$1:$1,0))), SUMIFS(INDEX('拌客源数据1-8月'!$A:$X,0,MATCH("cpc总费用",'拌客源数据1-8月'!$1:$1,0)),'拌客源数据1-8月'!$A:$A,$A18,'拌客源数据1-8月'!$H:$H,$H$5)))/C18</f>
        <v>3.3627553108374564E-2</v>
      </c>
    </row>
    <row r="31" spans="1:8" x14ac:dyDescent="0.2">
      <c r="A31" s="66">
        <f t="shared" si="5"/>
        <v>44019</v>
      </c>
      <c r="B31" s="67">
        <f t="shared" si="6"/>
        <v>44019</v>
      </c>
      <c r="C31" s="58">
        <f>IF($H$5="全部",SUMIF('拌客源数据1-8月'!$A:$A,$A31,INDEX('拌客源数据1-8月'!$A:$X,0,MATCH(C$24,'拌客源数据1-8月'!$1:$1,0))), SUMIFS(INDEX('拌客源数据1-8月'!$A:$X,0,MATCH(C$24,'拌客源数据1-8月'!$1:$1,0)),'拌客源数据1-8月'!$A:$A,$A31,'拌客源数据1-8月'!$H:$H,$H$5))</f>
        <v>5970</v>
      </c>
      <c r="D31" s="58">
        <f>IF($H$5="全部",SUMIF('拌客源数据1-8月'!$A:$A,$A31,INDEX('拌客源数据1-8月'!$A:$X,0,MATCH(D$24,'拌客源数据1-8月'!$1:$1,0))), SUMIFS(INDEX('拌客源数据1-8月'!$A:$X,0,MATCH(D$24,'拌客源数据1-8月'!$1:$1,0)),'拌客源数据1-8月'!$A:$A,$A31,'拌客源数据1-8月'!$H:$H,$H$5))</f>
        <v>356</v>
      </c>
      <c r="E31" s="69">
        <f t="shared" si="7"/>
        <v>5.9631490787269682E-2</v>
      </c>
      <c r="F31" s="58">
        <f>IF($H$5="全部",SUMIF('拌客源数据1-8月'!$A:$A,$A31,INDEX('拌客源数据1-8月'!$A:$X,0,MATCH(F$24,'拌客源数据1-8月'!$1:$1,0))), SUMIFS(INDEX('拌客源数据1-8月'!$A:$X,0,MATCH(F$24,'拌客源数据1-8月'!$1:$1,0)),'拌客源数据1-8月'!$A:$A,$A31,'拌客源数据1-8月'!$H:$H,$H$5))</f>
        <v>86</v>
      </c>
      <c r="G31" s="69">
        <f t="shared" si="8"/>
        <v>0.24157303370786518</v>
      </c>
      <c r="H31" s="69">
        <f>(IF($H$5="全部",SUMIF('拌客源数据1-8月'!$A:$A,$A19,INDEX('拌客源数据1-8月'!$A:$X,0,MATCH("cpc总费用",'拌客源数据1-8月'!$1:$1,0))), SUMIFS(INDEX('拌客源数据1-8月'!$A:$X,0,MATCH("cpc总费用",'拌客源数据1-8月'!$1:$1,0)),'拌客源数据1-8月'!$A:$A,$A19,'拌客源数据1-8月'!$H:$H,$H$5)))/C19</f>
        <v>5.0154154187767988E-2</v>
      </c>
    </row>
    <row r="32" spans="1:8" x14ac:dyDescent="0.2">
      <c r="A32" s="58" t="s">
        <v>72</v>
      </c>
      <c r="C32" s="58">
        <f>SUM(C25:C31)</f>
        <v>45334</v>
      </c>
      <c r="D32" s="58">
        <f t="shared" ref="D32:F32" si="9">SUM(D25:D31)</f>
        <v>2661</v>
      </c>
      <c r="E32" s="69">
        <f t="shared" si="7"/>
        <v>5.8697666210791019E-2</v>
      </c>
      <c r="F32" s="58">
        <f t="shared" si="9"/>
        <v>628</v>
      </c>
      <c r="G32" s="69">
        <f t="shared" si="8"/>
        <v>0.23600150319428786</v>
      </c>
      <c r="H32" s="69">
        <f>(IF($H$5="全部",SUMIFS(INDEX('拌客源数据1-8月'!$A:$X,0,MATCH("cpc总费用",'拌客源数据1-8月'!$1:$1,0)),'拌客源数据1-8月'!A:A,"&gt;="&amp;A13,'拌客源数据1-8月'!A:A,"&lt;="&amp;A19),SUMIFS(INDEX('拌客源数据1-8月'!$A:$X,0,MATCH("cpc总费用",'拌客源数据1-8月'!$1:$1,0)),'拌客源数据1-8月'!A:A,"&gt;="&amp;A13,'拌客源数据1-8月'!A:A,"&lt;="&amp;A19,'拌客源数据1-8月'!$H:$H,$H$5)))/C20</f>
        <v>4.3448670585207072E-2</v>
      </c>
    </row>
  </sheetData>
  <mergeCells count="2">
    <mergeCell ref="G7:H7"/>
    <mergeCell ref="A2:H3"/>
  </mergeCells>
  <phoneticPr fontId="18" type="noConversion"/>
  <conditionalFormatting sqref="A13:H19">
    <cfRule type="expression" dxfId="6" priority="7">
      <formula>$C13&lt;AVERAGE($C$13:$C$19)</formula>
    </cfRule>
  </conditionalFormatting>
  <conditionalFormatting sqref="B8:B9">
    <cfRule type="cellIs" dxfId="5" priority="21" operator="lessThanOrEqual">
      <formula>0</formula>
    </cfRule>
    <cfRule type="cellIs" dxfId="4" priority="22" operator="greaterThan">
      <formula>0</formula>
    </cfRule>
  </conditionalFormatting>
  <conditionalFormatting sqref="D8:D9">
    <cfRule type="cellIs" dxfId="3" priority="5" operator="lessThanOrEqual">
      <formula>0</formula>
    </cfRule>
    <cfRule type="cellIs" dxfId="2" priority="6" operator="greaterThan">
      <formula>0</formula>
    </cfRule>
  </conditionalFormatting>
  <conditionalFormatting sqref="F8:F9">
    <cfRule type="cellIs" dxfId="1" priority="2" operator="lessThanOrEqual">
      <formula>0</formula>
    </cfRule>
    <cfRule type="cellIs" dxfId="0" priority="3" operator="greaterThan">
      <formula>0</formula>
    </cfRule>
  </conditionalFormatting>
  <conditionalFormatting sqref="G7:H7">
    <cfRule type="dataBar" priority="2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{70470ABB-6D10-456C-8561-D53536C96878}</x14:id>
        </ext>
      </extLst>
    </cfRule>
    <cfRule type="dataBar" priority="24">
      <dataBar>
        <cfvo type="num" val="0"/>
        <cfvo type="num" val="0"/>
        <color rgb="FF638EC6"/>
      </dataBar>
      <extLst>
        <ext xmlns:x14="http://schemas.microsoft.com/office/spreadsheetml/2009/9/main" uri="{B025F937-C7B1-47D3-B67F-A62EFF666E3E}">
          <x14:id>{9459CD48-E976-4FDE-8DA0-9B8D906A3490}</x14:id>
        </ext>
      </extLst>
    </cfRule>
  </conditionalFormatting>
  <conditionalFormatting sqref="H6">
    <cfRule type="dataBar" priority="2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{91227DF6-3F29-446C-B7D5-633659A273EC}</x14:id>
        </ext>
      </extLst>
    </cfRule>
  </conditionalFormatting>
  <dataValidations count="1">
    <dataValidation type="list" allowBlank="1" showInputMessage="1" showErrorMessage="1" sqref="H5" xr:uid="{72487387-AD4B-4C3D-ADAC-542589C38176}">
      <formula1>"全部,美团,饿了么"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476EEDAF-5684-4F92-B4E8-5AC921D91DC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B8:B9</xm:sqref>
        </x14:conditionalFormatting>
        <x14:conditionalFormatting xmlns:xm="http://schemas.microsoft.com/office/excel/2006/main">
          <x14:cfRule type="iconSet" priority="11" id="{C720B741-75C2-4BBD-9095-DEF2B9F980D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D8</xm:sqref>
        </x14:conditionalFormatting>
        <x14:conditionalFormatting xmlns:xm="http://schemas.microsoft.com/office/excel/2006/main">
          <x14:cfRule type="iconSet" priority="4" id="{F4775395-61CF-4A7D-8C70-943BED3814A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8" id="{71F2067E-5E2C-4480-8B98-68D4F556FE8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F8</xm:sqref>
        </x14:conditionalFormatting>
        <x14:conditionalFormatting xmlns:xm="http://schemas.microsoft.com/office/excel/2006/main">
          <x14:cfRule type="iconSet" priority="1" id="{91EA7514-4D1C-4B65-8CEE-FDBA0A5B57C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  <x14:conditionalFormatting xmlns:xm="http://schemas.microsoft.com/office/excel/2006/main">
          <x14:cfRule type="dataBar" id="{70470ABB-6D10-456C-8561-D53536C9687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459CD48-E976-4FDE-8DA0-9B8D906A3490}">
            <x14:dataBar minLength="0" maxLength="100">
              <x14:cfvo type="num">
                <xm:f>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dataBar" id="{91227DF6-3F29-446C-B7D5-633659A273E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CF0D03A4-9E13-43A3-B9DD-5D8C23FC6B0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'大厂周报-练习版'!G25:G31</xm:f>
              <xm:sqref>F6</xm:sqref>
            </x14:sparkline>
          </x14:sparklines>
        </x14:sparklineGroup>
        <x14:sparklineGroup displayEmptyCellsAs="gap" markers="1" xr2:uid="{01D3CB94-2C73-43C0-A6E4-62E33F8709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'大厂周报-练习版'!E25:E31</xm:f>
              <xm:sqref>D6</xm:sqref>
            </x14:sparkline>
          </x14:sparklines>
        </x14:sparklineGroup>
        <x14:sparklineGroup displayEmptyCellsAs="gap" markers="1" xr2:uid="{A22B94FB-B0F5-4839-8E4D-7B23D43EBDF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'大厂周报-练习版'!C25:C31</xm:f>
              <xm:sqref>B6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3592-3B96-4157-A652-851B2302B5A9}">
  <sheetPr codeName="Sheet7"/>
  <dimension ref="A1:H33"/>
  <sheetViews>
    <sheetView tabSelected="1" zoomScale="130" zoomScaleNormal="130" workbookViewId="0">
      <selection activeCell="I7" sqref="I7"/>
    </sheetView>
  </sheetViews>
  <sheetFormatPr defaultColWidth="10.625" defaultRowHeight="14.25" x14ac:dyDescent="0.2"/>
  <cols>
    <col min="1" max="7" width="10.625" style="40"/>
    <col min="8" max="8" width="10.625" style="40" customWidth="1"/>
    <col min="9" max="16384" width="10.625" style="40"/>
  </cols>
  <sheetData>
    <row r="1" spans="1:8" ht="15" thickBot="1" x14ac:dyDescent="0.25">
      <c r="A1" s="104" t="s">
        <v>165</v>
      </c>
      <c r="B1" s="105">
        <v>44013</v>
      </c>
      <c r="C1" s="106" t="s">
        <v>77</v>
      </c>
      <c r="D1" s="107">
        <f>B1+6</f>
        <v>44019</v>
      </c>
      <c r="G1" s="81" t="s">
        <v>167</v>
      </c>
      <c r="H1" s="97" t="s">
        <v>162</v>
      </c>
    </row>
    <row r="2" spans="1:8" x14ac:dyDescent="0.2">
      <c r="A2" s="123" t="str">
        <f>TEXT(B1,"yyyy年mm月")&amp;"第"&amp;FLOOR((DAY(B1)-1)/7,1)+1&amp;"周"</f>
        <v>2020年07月第1周</v>
      </c>
      <c r="B2" s="123"/>
      <c r="C2" s="123"/>
      <c r="D2" s="123"/>
      <c r="E2" s="123"/>
      <c r="F2" s="124"/>
      <c r="G2" s="119" t="s">
        <v>63</v>
      </c>
      <c r="H2" s="120"/>
    </row>
    <row r="3" spans="1:8" x14ac:dyDescent="0.2">
      <c r="A3" s="123"/>
      <c r="B3" s="123"/>
      <c r="C3" s="123"/>
      <c r="D3" s="123"/>
      <c r="E3" s="123"/>
      <c r="F3" s="124"/>
      <c r="G3" s="121">
        <f>C21/H4</f>
        <v>0.17463134999999999</v>
      </c>
      <c r="H3" s="122"/>
    </row>
    <row r="4" spans="1:8" ht="15" thickBot="1" x14ac:dyDescent="0.25">
      <c r="A4" s="98" t="s">
        <v>58</v>
      </c>
      <c r="G4" s="84" t="s">
        <v>170</v>
      </c>
      <c r="H4" s="85">
        <f>IF(H1="全部",200000,IF(H1="美团",150000,50000))</f>
        <v>200000</v>
      </c>
    </row>
    <row r="5" spans="1:8" x14ac:dyDescent="0.2">
      <c r="A5" s="99" t="s">
        <v>59</v>
      </c>
      <c r="C5" s="99" t="s">
        <v>164</v>
      </c>
      <c r="E5" s="99" t="s">
        <v>61</v>
      </c>
    </row>
    <row r="6" spans="1:8" x14ac:dyDescent="0.2">
      <c r="A6" s="40">
        <f>C33</f>
        <v>45334</v>
      </c>
      <c r="C6" s="79">
        <f>E33</f>
        <v>5.8697666210791019E-2</v>
      </c>
      <c r="E6" s="79">
        <f>G33</f>
        <v>0.23600150319428786</v>
      </c>
    </row>
    <row r="7" spans="1:8" x14ac:dyDescent="0.2">
      <c r="A7" s="98" t="s">
        <v>64</v>
      </c>
    </row>
    <row r="8" spans="1:8" x14ac:dyDescent="0.2">
      <c r="A8" s="99" t="s">
        <v>53</v>
      </c>
      <c r="C8" s="99" t="s">
        <v>54</v>
      </c>
      <c r="E8" s="99" t="s">
        <v>65</v>
      </c>
    </row>
    <row r="9" spans="1:8" x14ac:dyDescent="0.2">
      <c r="A9" s="78">
        <f>F21</f>
        <v>650</v>
      </c>
      <c r="B9" s="79">
        <f>A9/(IF(H1="全部",SUMIFS(INDEX('拌客源数据1-8月'!A:X,0,MATCH(A8,'拌客源数据1-8月'!1:1,0)),'拌客源数据1-8月'!A:A,"&gt;="&amp;A14-7,'拌客源数据1-8月'!A:A,"&lt;="&amp;A20-7),SUMIFS(INDEX('拌客源数据1-8月'!A:X,0,MATCH(A8,'拌客源数据1-8月'!1:1,0)),'拌客源数据1-8月'!A:A,"&gt;="&amp;A14-7,'拌客源数据1-8月'!A:A,"&lt;="&amp;A20-7,'拌客源数据1-8月'!H:H,"="&amp;H1)))-1</f>
        <v>-0.27211646136618139</v>
      </c>
      <c r="C9" s="78">
        <f>D21</f>
        <v>12022.23</v>
      </c>
      <c r="D9" s="79">
        <f>C9/(IF(H1="全部",SUMIFS(INDEX('拌客源数据1-8月'!A:X,0,MATCH(C8,'拌客源数据1-8月'!1:1,0)),'拌客源数据1-8月'!A:A,"&gt;="&amp;A14-7,'拌客源数据1-8月'!A:A,"&lt;="&amp;A20-7),SUMIFS(INDEX('拌客源数据1-8月'!A:X,0,MATCH(C8,'拌客源数据1-8月'!1:1,0)),'拌客源数据1-8月'!A:A,"&gt;="&amp;A14-7,'拌客源数据1-8月'!A:A,"&lt;="&amp;A20-7,'拌客源数据1-8月'!H:H,"="&amp;H1)))-1</f>
        <v>-0.25889713279678073</v>
      </c>
      <c r="E9" s="79">
        <f>E21</f>
        <v>0.34421740426332387</v>
      </c>
      <c r="F9" s="79">
        <f>E9/(IF(H1="全部",SUMIFS(INDEX('拌客源数据1-8月'!A:X,0,MATCH(C8,'拌客源数据1-8月'!1:1,0)),'拌客源数据1-8月'!A:A,"&gt;="&amp;A14-7,'拌客源数据1-8月'!A:A,"&lt;="&amp;A20-7),SUMIFS(INDEX('拌客源数据1-8月'!A:X,0,MATCH(C8,'拌客源数据1-8月'!1:1,0)),'拌客源数据1-8月'!A:A,"&gt;="&amp;A14-7,'拌客源数据1-8月'!A:A,"&lt;="&amp;A20-7,'拌客源数据1-8月'!H:H,H1))/IF(H1="全部",SUMIFS(INDEX('拌客源数据1-8月'!A:X,0,MATCH(C13,'拌客源数据1-8月'!1:1,0)),'拌客源数据1-8月'!A:A,"&gt;="&amp;A14-7,'拌客源数据1-8月'!A:A,"&lt;="&amp;A20-7),SUMIFS(INDEX('拌客源数据1-8月'!A:X,0,MATCH(C13,'拌客源数据1-8月'!1:1,0)),'拌客源数据1-8月'!A:A,"&gt;="&amp;A14-7,'拌客源数据1-8月'!A:A,"&lt;="&amp;A20-7,'拌客源数据1-8月'!H:H,H1)))-1</f>
        <v>-5.1790497785177969E-3</v>
      </c>
    </row>
    <row r="11" spans="1:8" ht="15" thickBot="1" x14ac:dyDescent="0.25"/>
    <row r="12" spans="1:8" x14ac:dyDescent="0.2">
      <c r="A12" s="100" t="s">
        <v>67</v>
      </c>
      <c r="B12" s="86"/>
      <c r="C12" s="86"/>
      <c r="D12" s="86"/>
      <c r="E12" s="86"/>
      <c r="F12" s="86"/>
      <c r="G12" s="86"/>
      <c r="H12" s="82"/>
    </row>
    <row r="13" spans="1:8" x14ac:dyDescent="0.2">
      <c r="A13" s="101" t="s">
        <v>69</v>
      </c>
      <c r="B13" s="102" t="s">
        <v>70</v>
      </c>
      <c r="C13" s="102" t="s">
        <v>55</v>
      </c>
      <c r="D13" s="102" t="s">
        <v>54</v>
      </c>
      <c r="E13" s="102" t="s">
        <v>65</v>
      </c>
      <c r="F13" s="102" t="s">
        <v>53</v>
      </c>
      <c r="G13" s="102" t="s">
        <v>52</v>
      </c>
      <c r="H13" s="103" t="s">
        <v>71</v>
      </c>
    </row>
    <row r="14" spans="1:8" x14ac:dyDescent="0.2">
      <c r="A14" s="87">
        <f>B1</f>
        <v>44013</v>
      </c>
      <c r="B14" s="88">
        <f>A14</f>
        <v>44013</v>
      </c>
      <c r="C14" s="78">
        <f>IF($H$1="全部",SUMIF(INDEX('拌客源数据1-8月'!$A:$X,0,MATCH($A$13,'拌客源数据1-8月'!$1:$1,0)),$A14,INDEX('拌客源数据1-8月'!$A:$X,0,MATCH(C$13,'拌客源数据1-8月'!$1:$1,0))), SUMIFS(INDEX('拌客源数据1-8月'!$A:$X,0,MATCH(C$13,'拌客源数据1-8月'!$1:$1,0)),INDEX('拌客源数据1-8月'!$A:$X,0,MATCH($A$13,'拌客源数据1-8月'!$1:$1,0)),$A14,INDEX('拌客源数据1-8月'!$A:$X,0,MATCH("平台i",'拌客源数据1-8月'!$1:$1,0)),$H$1))</f>
        <v>6001.38</v>
      </c>
      <c r="D14" s="78">
        <f>IF($H$1="全部",SUMIF(INDEX('拌客源数据1-8月'!$A:$X,0,MATCH($A$13,'拌客源数据1-8月'!$1:$1,0)),$A14,INDEX('拌客源数据1-8月'!$A:$X,0,MATCH(D$13,'拌客源数据1-8月'!$1:$1,0))), SUMIFS(INDEX('拌客源数据1-8月'!$A:$X,0,MATCH(D$13,'拌客源数据1-8月'!$1:$1,0)),INDEX('拌客源数据1-8月'!$A:$X,0,MATCH($A$13,'拌客源数据1-8月'!$1:$1,0)),$A14,INDEX('拌客源数据1-8月'!$A:$X,0,MATCH("平台i",'拌客源数据1-8月'!$1:$1,0)),$H$1))</f>
        <v>2078.12</v>
      </c>
      <c r="E14" s="79">
        <f>D14/C14</f>
        <v>0.34627369038454486</v>
      </c>
      <c r="F14" s="78">
        <f>IF($H$1="全部",SUMIF(INDEX('拌客源数据1-8月'!$A:$X,0,MATCH($A$13,'拌客源数据1-8月'!$1:$1,0)),$A14,INDEX('拌客源数据1-8月'!$A:$X,0,MATCH(F$13,'拌客源数据1-8月'!$1:$1,0))), SUMIFS(INDEX('拌客源数据1-8月'!$A:$X,0,MATCH(F$13,'拌客源数据1-8月'!$1:$1,0)),INDEX('拌客源数据1-8月'!$A:$X,0,MATCH($A$13,'拌客源数据1-8月'!$1:$1,0)),$A14,INDEX('拌客源数据1-8月'!$A:$X,0,MATCH("平台i",'拌客源数据1-8月'!$1:$1,0)),$H$1))</f>
        <v>113</v>
      </c>
      <c r="G14" s="78">
        <f>IF($H$1="全部",SUMIF(INDEX('拌客源数据1-8月'!$A:$X,0,MATCH($A$13,'拌客源数据1-8月'!$1:$1,0)),$A14,INDEX('拌客源数据1-8月'!$A:$X,0,MATCH(G$13,'拌客源数据1-8月'!$1:$1,0))), SUMIFS(INDEX('拌客源数据1-8月'!$A:$X,0,MATCH(G$13,'拌客源数据1-8月'!$1:$1,0)),INDEX('拌客源数据1-8月'!$A:$X,0,MATCH($A$13,'拌客源数据1-8月'!$1:$1,0)),$A14,INDEX('拌客源数据1-8月'!$A:$X,0,MATCH("平台i",'拌客源数据1-8月'!$1:$1,0)),$H$1))</f>
        <v>2</v>
      </c>
      <c r="H14" s="89">
        <f>C14/F14</f>
        <v>53.109557522123893</v>
      </c>
    </row>
    <row r="15" spans="1:8" x14ac:dyDescent="0.2">
      <c r="A15" s="87">
        <f>A14+1</f>
        <v>44014</v>
      </c>
      <c r="B15" s="88">
        <f t="shared" ref="B15:B20" si="0">A15</f>
        <v>44014</v>
      </c>
      <c r="C15" s="78">
        <f>IF($H$1="全部",SUMIF(INDEX('拌客源数据1-8月'!$A:$X,0,MATCH($A$13,'拌客源数据1-8月'!$1:$1,0)),$A15,INDEX('拌客源数据1-8月'!$A:$X,0,MATCH(C$13,'拌客源数据1-8月'!$1:$1,0))), SUMIFS(INDEX('拌客源数据1-8月'!$A:$X,0,MATCH(C$13,'拌客源数据1-8月'!$1:$1,0)),INDEX('拌客源数据1-8月'!$A:$X,0,MATCH($A$13,'拌客源数据1-8月'!$1:$1,0)),$A15,INDEX('拌客源数据1-8月'!$A:$X,0,MATCH("平台i",'拌客源数据1-8月'!$1:$1,0)),$H$1))</f>
        <v>7224.76</v>
      </c>
      <c r="D15" s="78">
        <f>IF($H$1="全部",SUMIF(INDEX('拌客源数据1-8月'!$A:$X,0,MATCH($A$13,'拌客源数据1-8月'!$1:$1,0)),$A15,INDEX('拌客源数据1-8月'!$A:$X,0,MATCH(D$13,'拌客源数据1-8月'!$1:$1,0))), SUMIFS(INDEX('拌客源数据1-8月'!$A:$X,0,MATCH(D$13,'拌客源数据1-8月'!$1:$1,0)),INDEX('拌客源数据1-8月'!$A:$X,0,MATCH($A$13,'拌客源数据1-8月'!$1:$1,0)),$A15,INDEX('拌客源数据1-8月'!$A:$X,0,MATCH("平台i",'拌客源数据1-8月'!$1:$1,0)),$H$1))</f>
        <v>2465.41</v>
      </c>
      <c r="E15" s="79">
        <f t="shared" ref="E15:E20" si="1">D15/C15</f>
        <v>0.3412445534522946</v>
      </c>
      <c r="F15" s="78">
        <f>IF($H$1="全部",SUMIF(INDEX('拌客源数据1-8月'!$A:$X,0,MATCH($A$13,'拌客源数据1-8月'!$1:$1,0)),$A15,INDEX('拌客源数据1-8月'!$A:$X,0,MATCH(F$13,'拌客源数据1-8月'!$1:$1,0))), SUMIFS(INDEX('拌客源数据1-8月'!$A:$X,0,MATCH(F$13,'拌客源数据1-8月'!$1:$1,0)),INDEX('拌客源数据1-8月'!$A:$X,0,MATCH($A$13,'拌客源数据1-8月'!$1:$1,0)),$A15,INDEX('拌客源数据1-8月'!$A:$X,0,MATCH("平台i",'拌客源数据1-8月'!$1:$1,0)),$H$1))</f>
        <v>137</v>
      </c>
      <c r="G15" s="78">
        <f>IF($H$1="全部",SUMIF(INDEX('拌客源数据1-8月'!$A:$X,0,MATCH($A$13,'拌客源数据1-8月'!$1:$1,0)),$A15,INDEX('拌客源数据1-8月'!$A:$X,0,MATCH(G$13,'拌客源数据1-8月'!$1:$1,0))), SUMIFS(INDEX('拌客源数据1-8月'!$A:$X,0,MATCH(G$13,'拌客源数据1-8月'!$1:$1,0)),INDEX('拌客源数据1-8月'!$A:$X,0,MATCH($A$13,'拌客源数据1-8月'!$1:$1,0)),$A15,INDEX('拌客源数据1-8月'!$A:$X,0,MATCH("平台i",'拌客源数据1-8月'!$1:$1,0)),$H$1))</f>
        <v>2</v>
      </c>
      <c r="H15" s="89">
        <f>C15/F15</f>
        <v>52.735474452554747</v>
      </c>
    </row>
    <row r="16" spans="1:8" x14ac:dyDescent="0.2">
      <c r="A16" s="87">
        <f t="shared" ref="A16:A20" si="2">A15+1</f>
        <v>44015</v>
      </c>
      <c r="B16" s="88">
        <f t="shared" si="0"/>
        <v>44015</v>
      </c>
      <c r="C16" s="78">
        <f>IF($H$1="全部",SUMIF(INDEX('拌客源数据1-8月'!$A:$X,0,MATCH($A$13,'拌客源数据1-8月'!$1:$1,0)),$A16,INDEX('拌客源数据1-8月'!$A:$X,0,MATCH(C$13,'拌客源数据1-8月'!$1:$1,0))), SUMIFS(INDEX('拌客源数据1-8月'!$A:$X,0,MATCH(C$13,'拌客源数据1-8月'!$1:$1,0)),INDEX('拌客源数据1-8月'!$A:$X,0,MATCH($A$13,'拌客源数据1-8月'!$1:$1,0)),$A16,INDEX('拌客源数据1-8月'!$A:$X,0,MATCH("平台i",'拌客源数据1-8月'!$1:$1,0)),$H$1))</f>
        <v>5285.44</v>
      </c>
      <c r="D16" s="78">
        <f>IF($H$1="全部",SUMIF(INDEX('拌客源数据1-8月'!$A:$X,0,MATCH($A$13,'拌客源数据1-8月'!$1:$1,0)),$A16,INDEX('拌客源数据1-8月'!$A:$X,0,MATCH(D$13,'拌客源数据1-8月'!$1:$1,0))), SUMIFS(INDEX('拌客源数据1-8月'!$A:$X,0,MATCH(D$13,'拌客源数据1-8月'!$1:$1,0)),INDEX('拌客源数据1-8月'!$A:$X,0,MATCH($A$13,'拌客源数据1-8月'!$1:$1,0)),$A16,INDEX('拌客源数据1-8月'!$A:$X,0,MATCH("平台i",'拌客源数据1-8月'!$1:$1,0)),$H$1))</f>
        <v>1702.95</v>
      </c>
      <c r="E16" s="79">
        <f t="shared" si="1"/>
        <v>0.32219644911303508</v>
      </c>
      <c r="F16" s="78">
        <f>IF($H$1="全部",SUMIF(INDEX('拌客源数据1-8月'!$A:$X,0,MATCH($A$13,'拌客源数据1-8月'!$1:$1,0)),$A16,INDEX('拌客源数据1-8月'!$A:$X,0,MATCH(F$13,'拌客源数据1-8月'!$1:$1,0))), SUMIFS(INDEX('拌客源数据1-8月'!$A:$X,0,MATCH(F$13,'拌客源数据1-8月'!$1:$1,0)),INDEX('拌客源数据1-8月'!$A:$X,0,MATCH($A$13,'拌客源数据1-8月'!$1:$1,0)),$A16,INDEX('拌客源数据1-8月'!$A:$X,0,MATCH("平台i",'拌客源数据1-8月'!$1:$1,0)),$H$1))</f>
        <v>107</v>
      </c>
      <c r="G16" s="78">
        <f>IF($H$1="全部",SUMIF(INDEX('拌客源数据1-8月'!$A:$X,0,MATCH($A$13,'拌客源数据1-8月'!$1:$1,0)),$A16,INDEX('拌客源数据1-8月'!$A:$X,0,MATCH(G$13,'拌客源数据1-8月'!$1:$1,0))), SUMIFS(INDEX('拌客源数据1-8月'!$A:$X,0,MATCH(G$13,'拌客源数据1-8月'!$1:$1,0)),INDEX('拌客源数据1-8月'!$A:$X,0,MATCH($A$13,'拌客源数据1-8月'!$1:$1,0)),$A16,INDEX('拌客源数据1-8月'!$A:$X,0,MATCH("平台i",'拌客源数据1-8月'!$1:$1,0)),$H$1))</f>
        <v>0</v>
      </c>
      <c r="H16" s="89">
        <f t="shared" ref="H16:H20" si="3">C16/F16</f>
        <v>49.396635514018691</v>
      </c>
    </row>
    <row r="17" spans="1:8" x14ac:dyDescent="0.2">
      <c r="A17" s="87">
        <f t="shared" si="2"/>
        <v>44016</v>
      </c>
      <c r="B17" s="88">
        <f t="shared" si="0"/>
        <v>44016</v>
      </c>
      <c r="C17" s="78">
        <f>IF($H$1="全部",SUMIF(INDEX('拌客源数据1-8月'!$A:$X,0,MATCH($A$13,'拌客源数据1-8月'!$1:$1,0)),$A17,INDEX('拌客源数据1-8月'!$A:$X,0,MATCH(C$13,'拌客源数据1-8月'!$1:$1,0))), SUMIFS(INDEX('拌客源数据1-8月'!$A:$X,0,MATCH(C$13,'拌客源数据1-8月'!$1:$1,0)),INDEX('拌客源数据1-8月'!$A:$X,0,MATCH($A$13,'拌客源数据1-8月'!$1:$1,0)),$A17,INDEX('拌客源数据1-8月'!$A:$X,0,MATCH("平台i",'拌客源数据1-8月'!$1:$1,0)),$H$1))</f>
        <v>5125.88</v>
      </c>
      <c r="D17" s="78">
        <f>IF($H$1="全部",SUMIF(INDEX('拌客源数据1-8月'!$A:$X,0,MATCH($A$13,'拌客源数据1-8月'!$1:$1,0)),$A17,INDEX('拌客源数据1-8月'!$A:$X,0,MATCH(D$13,'拌客源数据1-8月'!$1:$1,0))), SUMIFS(INDEX('拌客源数据1-8月'!$A:$X,0,MATCH(D$13,'拌客源数据1-8月'!$1:$1,0)),INDEX('拌客源数据1-8月'!$A:$X,0,MATCH($A$13,'拌客源数据1-8月'!$1:$1,0)),$A17,INDEX('拌客源数据1-8月'!$A:$X,0,MATCH("平台i",'拌客源数据1-8月'!$1:$1,0)),$H$1))</f>
        <v>1820.1000000000001</v>
      </c>
      <c r="E17" s="79">
        <f t="shared" si="1"/>
        <v>0.35508049349575099</v>
      </c>
      <c r="F17" s="78">
        <f>IF($H$1="全部",SUMIF(INDEX('拌客源数据1-8月'!$A:$X,0,MATCH($A$13,'拌客源数据1-8月'!$1:$1,0)),$A17,INDEX('拌客源数据1-8月'!$A:$X,0,MATCH(F$13,'拌客源数据1-8月'!$1:$1,0))), SUMIFS(INDEX('拌客源数据1-8月'!$A:$X,0,MATCH(F$13,'拌客源数据1-8月'!$1:$1,0)),INDEX('拌客源数据1-8月'!$A:$X,0,MATCH($A$13,'拌客源数据1-8月'!$1:$1,0)),$A17,INDEX('拌客源数据1-8月'!$A:$X,0,MATCH("平台i",'拌客源数据1-8月'!$1:$1,0)),$H$1))</f>
        <v>91</v>
      </c>
      <c r="G17" s="78">
        <f>IF($H$1="全部",SUMIF(INDEX('拌客源数据1-8月'!$A:$X,0,MATCH($A$13,'拌客源数据1-8月'!$1:$1,0)),$A17,INDEX('拌客源数据1-8月'!$A:$X,0,MATCH(G$13,'拌客源数据1-8月'!$1:$1,0))), SUMIFS(INDEX('拌客源数据1-8月'!$A:$X,0,MATCH(G$13,'拌客源数据1-8月'!$1:$1,0)),INDEX('拌客源数据1-8月'!$A:$X,0,MATCH($A$13,'拌客源数据1-8月'!$1:$1,0)),$A17,INDEX('拌客源数据1-8月'!$A:$X,0,MATCH("平台i",'拌客源数据1-8月'!$1:$1,0)),$H$1))</f>
        <v>0</v>
      </c>
      <c r="H17" s="89">
        <f t="shared" si="3"/>
        <v>56.328351648351649</v>
      </c>
    </row>
    <row r="18" spans="1:8" x14ac:dyDescent="0.2">
      <c r="A18" s="87">
        <f t="shared" si="2"/>
        <v>44017</v>
      </c>
      <c r="B18" s="88">
        <f t="shared" si="0"/>
        <v>44017</v>
      </c>
      <c r="C18" s="78">
        <f>IF($H$1="全部",SUMIF(INDEX('拌客源数据1-8月'!$A:$X,0,MATCH($A$13,'拌客源数据1-8月'!$1:$1,0)),$A18,INDEX('拌客源数据1-8月'!$A:$X,0,MATCH(C$13,'拌客源数据1-8月'!$1:$1,0))), SUMIFS(INDEX('拌客源数据1-8月'!$A:$X,0,MATCH(C$13,'拌客源数据1-8月'!$1:$1,0)),INDEX('拌客源数据1-8月'!$A:$X,0,MATCH($A$13,'拌客源数据1-8月'!$1:$1,0)),$A18,INDEX('拌客源数据1-8月'!$A:$X,0,MATCH("平台i",'拌客源数据1-8月'!$1:$1,0)),$H$1))</f>
        <v>4373.78</v>
      </c>
      <c r="D18" s="78">
        <f>IF($H$1="全部",SUMIF(INDEX('拌客源数据1-8月'!$A:$X,0,MATCH($A$13,'拌客源数据1-8月'!$1:$1,0)),$A18,INDEX('拌客源数据1-8月'!$A:$X,0,MATCH(D$13,'拌客源数据1-8月'!$1:$1,0))), SUMIFS(INDEX('拌客源数据1-8月'!$A:$X,0,MATCH(D$13,'拌客源数据1-8月'!$1:$1,0)),INDEX('拌客源数据1-8月'!$A:$X,0,MATCH($A$13,'拌客源数据1-8月'!$1:$1,0)),$A18,INDEX('拌客源数据1-8月'!$A:$X,0,MATCH("平台i",'拌客源数据1-8月'!$1:$1,0)),$H$1))</f>
        <v>1491.92</v>
      </c>
      <c r="E18" s="79">
        <f t="shared" si="1"/>
        <v>0.34110540539304679</v>
      </c>
      <c r="F18" s="78">
        <f>IF($H$1="全部",SUMIF(INDEX('拌客源数据1-8月'!$A:$X,0,MATCH($A$13,'拌客源数据1-8月'!$1:$1,0)),$A18,INDEX('拌客源数据1-8月'!$A:$X,0,MATCH(F$13,'拌客源数据1-8月'!$1:$1,0))), SUMIFS(INDEX('拌客源数据1-8月'!$A:$X,0,MATCH(F$13,'拌客源数据1-8月'!$1:$1,0)),INDEX('拌客源数据1-8月'!$A:$X,0,MATCH($A$13,'拌客源数据1-8月'!$1:$1,0)),$A18,INDEX('拌客源数据1-8月'!$A:$X,0,MATCH("平台i",'拌客源数据1-8月'!$1:$1,0)),$H$1))</f>
        <v>80</v>
      </c>
      <c r="G18" s="78">
        <f>IF($H$1="全部",SUMIF(INDEX('拌客源数据1-8月'!$A:$X,0,MATCH($A$13,'拌客源数据1-8月'!$1:$1,0)),$A18,INDEX('拌客源数据1-8月'!$A:$X,0,MATCH(G$13,'拌客源数据1-8月'!$1:$1,0))), SUMIFS(INDEX('拌客源数据1-8月'!$A:$X,0,MATCH(G$13,'拌客源数据1-8月'!$1:$1,0)),INDEX('拌客源数据1-8月'!$A:$X,0,MATCH($A$13,'拌客源数据1-8月'!$1:$1,0)),$A18,INDEX('拌客源数据1-8月'!$A:$X,0,MATCH("平台i",'拌客源数据1-8月'!$1:$1,0)),$H$1))</f>
        <v>4</v>
      </c>
      <c r="H18" s="89">
        <f t="shared" si="3"/>
        <v>54.672249999999998</v>
      </c>
    </row>
    <row r="19" spans="1:8" x14ac:dyDescent="0.2">
      <c r="A19" s="87">
        <f t="shared" si="2"/>
        <v>44018</v>
      </c>
      <c r="B19" s="88">
        <f t="shared" si="0"/>
        <v>44018</v>
      </c>
      <c r="C19" s="78">
        <f>IF($H$1="全部",SUMIF(INDEX('拌客源数据1-8月'!$A:$X,0,MATCH($A$13,'拌客源数据1-8月'!$1:$1,0)),$A19,INDEX('拌客源数据1-8月'!$A:$X,0,MATCH(C$13,'拌客源数据1-8月'!$1:$1,0))), SUMIFS(INDEX('拌客源数据1-8月'!$A:$X,0,MATCH(C$13,'拌客源数据1-8月'!$1:$1,0)),INDEX('拌客源数据1-8月'!$A:$X,0,MATCH($A$13,'拌客源数据1-8月'!$1:$1,0)),$A19,INDEX('拌客源数据1-8月'!$A:$X,0,MATCH("平台i",'拌客源数据1-8月'!$1:$1,0)),$H$1))</f>
        <v>2150.3200000000002</v>
      </c>
      <c r="D19" s="78">
        <f>IF($H$1="全部",SUMIF(INDEX('拌客源数据1-8月'!$A:$X,0,MATCH($A$13,'拌客源数据1-8月'!$1:$1,0)),$A19,INDEX('拌客源数据1-8月'!$A:$X,0,MATCH(D$13,'拌客源数据1-8月'!$1:$1,0))), SUMIFS(INDEX('拌客源数据1-8月'!$A:$X,0,MATCH(D$13,'拌客源数据1-8月'!$1:$1,0)),INDEX('拌客源数据1-8月'!$A:$X,0,MATCH($A$13,'拌客源数据1-8月'!$1:$1,0)),$A19,INDEX('拌客源数据1-8月'!$A:$X,0,MATCH("平台i",'拌客源数据1-8月'!$1:$1,0)),$H$1))</f>
        <v>812.27</v>
      </c>
      <c r="E19" s="79">
        <f t="shared" si="1"/>
        <v>0.37774377767030021</v>
      </c>
      <c r="F19" s="78">
        <f>IF($H$1="全部",SUMIF(INDEX('拌客源数据1-8月'!$A:$X,0,MATCH($A$13,'拌客源数据1-8月'!$1:$1,0)),$A19,INDEX('拌客源数据1-8月'!$A:$X,0,MATCH(F$13,'拌客源数据1-8月'!$1:$1,0))), SUMIFS(INDEX('拌客源数据1-8月'!$A:$X,0,MATCH(F$13,'拌客源数据1-8月'!$1:$1,0)),INDEX('拌客源数据1-8月'!$A:$X,0,MATCH($A$13,'拌客源数据1-8月'!$1:$1,0)),$A19,INDEX('拌客源数据1-8月'!$A:$X,0,MATCH("平台i",'拌客源数据1-8月'!$1:$1,0)),$H$1))</f>
        <v>35</v>
      </c>
      <c r="G19" s="78">
        <f>IF($H$1="全部",SUMIF(INDEX('拌客源数据1-8月'!$A:$X,0,MATCH($A$13,'拌客源数据1-8月'!$1:$1,0)),$A19,INDEX('拌客源数据1-8月'!$A:$X,0,MATCH(G$13,'拌客源数据1-8月'!$1:$1,0))), SUMIFS(INDEX('拌客源数据1-8月'!$A:$X,0,MATCH(G$13,'拌客源数据1-8月'!$1:$1,0)),INDEX('拌客源数据1-8月'!$A:$X,0,MATCH($A$13,'拌客源数据1-8月'!$1:$1,0)),$A19,INDEX('拌客源数据1-8月'!$A:$X,0,MATCH("平台i",'拌客源数据1-8月'!$1:$1,0)),$H$1))</f>
        <v>0</v>
      </c>
      <c r="H19" s="89">
        <f t="shared" si="3"/>
        <v>61.437714285714293</v>
      </c>
    </row>
    <row r="20" spans="1:8" ht="15" thickBot="1" x14ac:dyDescent="0.25">
      <c r="A20" s="90">
        <f t="shared" si="2"/>
        <v>44019</v>
      </c>
      <c r="B20" s="91">
        <f t="shared" si="0"/>
        <v>44019</v>
      </c>
      <c r="C20" s="92">
        <f>IF($H$1="全部",SUMIF(INDEX('拌客源数据1-8月'!$A:$X,0,MATCH($A$13,'拌客源数据1-8月'!$1:$1,0)),$A20,INDEX('拌客源数据1-8月'!$A:$X,0,MATCH(C$13,'拌客源数据1-8月'!$1:$1,0))), SUMIFS(INDEX('拌客源数据1-8月'!$A:$X,0,MATCH(C$13,'拌客源数据1-8月'!$1:$1,0)),INDEX('拌客源数据1-8月'!$A:$X,0,MATCH($A$13,'拌客源数据1-8月'!$1:$1,0)),$A20,INDEX('拌客源数据1-8月'!$A:$X,0,MATCH("平台i",'拌客源数据1-8月'!$1:$1,0)),$H$1))</f>
        <v>4764.71</v>
      </c>
      <c r="D20" s="92">
        <f>IF($H$1="全部",SUMIF(INDEX('拌客源数据1-8月'!$A:$X,0,MATCH($A$13,'拌客源数据1-8月'!$1:$1,0)),$A20,INDEX('拌客源数据1-8月'!$A:$X,0,MATCH(D$13,'拌客源数据1-8月'!$1:$1,0))), SUMIFS(INDEX('拌客源数据1-8月'!$A:$X,0,MATCH(D$13,'拌客源数据1-8月'!$1:$1,0)),INDEX('拌客源数据1-8月'!$A:$X,0,MATCH($A$13,'拌客源数据1-8月'!$1:$1,0)),$A20,INDEX('拌客源数据1-8月'!$A:$X,0,MATCH("平台i",'拌客源数据1-8月'!$1:$1,0)),$H$1))</f>
        <v>1651.46</v>
      </c>
      <c r="E20" s="93">
        <f t="shared" si="1"/>
        <v>0.3466024165164302</v>
      </c>
      <c r="F20" s="92">
        <f>IF($H$1="全部",SUMIF(INDEX('拌客源数据1-8月'!$A:$X,0,MATCH($A$13,'拌客源数据1-8月'!$1:$1,0)),$A20,INDEX('拌客源数据1-8月'!$A:$X,0,MATCH(F$13,'拌客源数据1-8月'!$1:$1,0))), SUMIFS(INDEX('拌客源数据1-8月'!$A:$X,0,MATCH(F$13,'拌客源数据1-8月'!$1:$1,0)),INDEX('拌客源数据1-8月'!$A:$X,0,MATCH($A$13,'拌客源数据1-8月'!$1:$1,0)),$A20,INDEX('拌客源数据1-8月'!$A:$X,0,MATCH("平台i",'拌客源数据1-8月'!$1:$1,0)),$H$1))</f>
        <v>87</v>
      </c>
      <c r="G20" s="92">
        <f>IF($H$1="全部",SUMIF(INDEX('拌客源数据1-8月'!$A:$X,0,MATCH($A$13,'拌客源数据1-8月'!$1:$1,0)),$A20,INDEX('拌客源数据1-8月'!$A:$X,0,MATCH(G$13,'拌客源数据1-8月'!$1:$1,0))), SUMIFS(INDEX('拌客源数据1-8月'!$A:$X,0,MATCH(G$13,'拌客源数据1-8月'!$1:$1,0)),INDEX('拌客源数据1-8月'!$A:$X,0,MATCH($A$13,'拌客源数据1-8月'!$1:$1,0)),$A20,INDEX('拌客源数据1-8月'!$A:$X,0,MATCH("平台i",'拌客源数据1-8月'!$1:$1,0)),$H$1))</f>
        <v>0</v>
      </c>
      <c r="H20" s="94">
        <f t="shared" si="3"/>
        <v>54.766781609195405</v>
      </c>
    </row>
    <row r="21" spans="1:8" x14ac:dyDescent="0.2">
      <c r="A21" s="99" t="s">
        <v>168</v>
      </c>
      <c r="C21" s="78">
        <f>SUM(C14:C20)</f>
        <v>34926.269999999997</v>
      </c>
      <c r="D21" s="78">
        <f t="shared" ref="D21:G21" si="4">SUM(D14:D20)</f>
        <v>12022.23</v>
      </c>
      <c r="E21" s="79">
        <f>D21/C21</f>
        <v>0.34421740426332387</v>
      </c>
      <c r="F21" s="78">
        <f t="shared" si="4"/>
        <v>650</v>
      </c>
      <c r="G21" s="78">
        <f t="shared" si="4"/>
        <v>8</v>
      </c>
      <c r="H21" s="80">
        <f>C21/F21</f>
        <v>53.732723076923072</v>
      </c>
    </row>
    <row r="23" spans="1:8" ht="15" thickBot="1" x14ac:dyDescent="0.25"/>
    <row r="24" spans="1:8" x14ac:dyDescent="0.2">
      <c r="A24" s="100" t="s">
        <v>73</v>
      </c>
      <c r="B24" s="86"/>
      <c r="C24" s="86"/>
      <c r="D24" s="86"/>
      <c r="E24" s="86"/>
      <c r="F24" s="86"/>
      <c r="G24" s="86"/>
      <c r="H24" s="82"/>
    </row>
    <row r="25" spans="1:8" x14ac:dyDescent="0.2">
      <c r="A25" s="101" t="s">
        <v>69</v>
      </c>
      <c r="B25" s="102" t="s">
        <v>70</v>
      </c>
      <c r="C25" s="102" t="s">
        <v>59</v>
      </c>
      <c r="D25" s="102" t="s">
        <v>74</v>
      </c>
      <c r="E25" s="102" t="s">
        <v>60</v>
      </c>
      <c r="F25" s="102" t="s">
        <v>75</v>
      </c>
      <c r="G25" s="102" t="s">
        <v>61</v>
      </c>
      <c r="H25" s="103" t="s">
        <v>76</v>
      </c>
    </row>
    <row r="26" spans="1:8" x14ac:dyDescent="0.2">
      <c r="A26" s="87">
        <f>B1</f>
        <v>44013</v>
      </c>
      <c r="B26" s="88">
        <f>A26</f>
        <v>44013</v>
      </c>
      <c r="C26" s="40">
        <f>IF($H$1="全部",SUMIF(INDEX('拌客源数据1-8月'!$A:$X,0,MATCH($A$25,'拌客源数据1-8月'!$1:$1,0)),$A26,INDEX('拌客源数据1-8月'!$A:$X,0,MATCH(C$25,'拌客源数据1-8月'!$1:$1,0))),SUMIFS(INDEX('拌客源数据1-8月'!$A:$X,0,MATCH(C$25,'拌客源数据1-8月'!$1:$1,0)),INDEX('拌客源数据1-8月'!$A:$X,0,MATCH($A$25,'拌客源数据1-8月'!$1:$1,0)),$A26,INDEX('拌客源数据1-8月'!$A:$X,0,MATCH("平台i",'拌客源数据1-8月'!$1:$1,0)),$H$1))</f>
        <v>7069</v>
      </c>
      <c r="D26" s="40">
        <f>IF($H$1="全部",SUMIF(INDEX('拌客源数据1-8月'!$A:$X,0,MATCH($A$25,'拌客源数据1-8月'!$1:$1,0)),$A26,INDEX('拌客源数据1-8月'!$A:$X,0,MATCH(D$25,'拌客源数据1-8月'!$1:$1,0))),SUMIFS(INDEX('拌客源数据1-8月'!$A:$X,0,MATCH(D$25,'拌客源数据1-8月'!$1:$1,0)),INDEX('拌客源数据1-8月'!$A:$X,0,MATCH($A$25,'拌客源数据1-8月'!$1:$1,0)),$A26,INDEX('拌客源数据1-8月'!$A:$X,0,MATCH("平台i",'拌客源数据1-8月'!$1:$1,0)),$H$1))</f>
        <v>404</v>
      </c>
      <c r="E26" s="79">
        <f>D26/C26</f>
        <v>5.7150940727118404E-2</v>
      </c>
      <c r="F26" s="40">
        <f>IF($H$1="全部",SUMIF(INDEX('拌客源数据1-8月'!$A:$X,0,MATCH($A$25,'拌客源数据1-8月'!$1:$1,0)),$A26,INDEX('拌客源数据1-8月'!$A:$X,0,MATCH(F$25,'拌客源数据1-8月'!$1:$1,0))),SUMIFS(INDEX('拌客源数据1-8月'!$A:$X,0,MATCH(F$25,'拌客源数据1-8月'!$1:$1,0)),INDEX('拌客源数据1-8月'!$A:$X,0,MATCH($A$25,'拌客源数据1-8月'!$1:$1,0)),$A26,INDEX('拌客源数据1-8月'!$A:$X,0,MATCH("平台i",'拌客源数据1-8月'!$1:$1,0)),$H$1))</f>
        <v>109</v>
      </c>
      <c r="G26" s="79">
        <f>F26/D26</f>
        <v>0.26980198019801982</v>
      </c>
      <c r="H26" s="83">
        <f>IF($H$1="全部",SUMIF(INDEX('拌客源数据1-8月'!$A:$X,0,MATCH($A$25,'拌客源数据1-8月'!$1:$1,0)),$A26,INDEX('拌客源数据1-8月'!$A:$X,0,MATCH("cpc总费用",'拌客源数据1-8月'!$1:$1,0))),SUMIFS(INDEX('拌客源数据1-8月'!$A:$X,0,MATCH("cpc总费用",'拌客源数据1-8月'!$1:$1,0)),INDEX('拌客源数据1-8月'!$A:$X,0,MATCH($A$25,'拌客源数据1-8月'!$1:$1,0)),$A26,INDEX('拌客源数据1-8月'!$A:$X,0,MATCH("平台i",'拌客源数据1-8月'!$1:$1,0)),$H$1))/$C14</f>
        <v>3.6779873962321998E-2</v>
      </c>
    </row>
    <row r="27" spans="1:8" x14ac:dyDescent="0.2">
      <c r="A27" s="87">
        <f>A26+1</f>
        <v>44014</v>
      </c>
      <c r="B27" s="88">
        <f t="shared" ref="B27:B32" si="5">A27</f>
        <v>44014</v>
      </c>
      <c r="C27" s="40">
        <f>IF($H$1="全部",SUMIF(INDEX('拌客源数据1-8月'!$A:$X,0,MATCH($A$25,'拌客源数据1-8月'!$1:$1,0)),$A27,INDEX('拌客源数据1-8月'!$A:$X,0,MATCH(C$25,'拌客源数据1-8月'!$1:$1,0))),SUMIFS(INDEX('拌客源数据1-8月'!$A:$X,0,MATCH(C$25,'拌客源数据1-8月'!$1:$1,0)),INDEX('拌客源数据1-8月'!$A:$X,0,MATCH($A$25,'拌客源数据1-8月'!$1:$1,0)),$A27,INDEX('拌客源数据1-8月'!$A:$X,0,MATCH("平台i",'拌客源数据1-8月'!$1:$1,0)),$H$1))</f>
        <v>7913</v>
      </c>
      <c r="D27" s="40">
        <f>IF($H$1="全部",SUMIF(INDEX('拌客源数据1-8月'!$A:$X,0,MATCH($A$25,'拌客源数据1-8月'!$1:$1,0)),$A27,INDEX('拌客源数据1-8月'!$A:$X,0,MATCH(D$25,'拌客源数据1-8月'!$1:$1,0))),SUMIFS(INDEX('拌客源数据1-8月'!$A:$X,0,MATCH(D$25,'拌客源数据1-8月'!$1:$1,0)),INDEX('拌客源数据1-8月'!$A:$X,0,MATCH($A$25,'拌客源数据1-8月'!$1:$1,0)),$A27,INDEX('拌客源数据1-8月'!$A:$X,0,MATCH("平台i",'拌客源数据1-8月'!$1:$1,0)),$H$1))</f>
        <v>486</v>
      </c>
      <c r="E27" s="79">
        <f t="shared" ref="E27:E32" si="6">D27/C27</f>
        <v>6.141791987868065E-2</v>
      </c>
      <c r="F27" s="40">
        <f>IF($H$1="全部",SUMIF(INDEX('拌客源数据1-8月'!$A:$X,0,MATCH($A$25,'拌客源数据1-8月'!$1:$1,0)),$A27,INDEX('拌客源数据1-8月'!$A:$X,0,MATCH(F$25,'拌客源数据1-8月'!$1:$1,0))),SUMIFS(INDEX('拌客源数据1-8月'!$A:$X,0,MATCH(F$25,'拌客源数据1-8月'!$1:$1,0)),INDEX('拌客源数据1-8月'!$A:$X,0,MATCH($A$25,'拌客源数据1-8月'!$1:$1,0)),$A27,INDEX('拌客源数据1-8月'!$A:$X,0,MATCH("平台i",'拌客源数据1-8月'!$1:$1,0)),$H$1))</f>
        <v>132</v>
      </c>
      <c r="G27" s="79">
        <f t="shared" ref="G27:G32" si="7">F27/D27</f>
        <v>0.27160493827160492</v>
      </c>
      <c r="H27" s="83">
        <f>IF($H$1="全部",SUMIF(INDEX('拌客源数据1-8月'!$A:$X,0,MATCH($A$25,'拌客源数据1-8月'!$1:$1,0)),$A27,INDEX('拌客源数据1-8月'!$A:$X,0,MATCH("cpc总费用",'拌客源数据1-8月'!$1:$1,0))),SUMIFS(INDEX('拌客源数据1-8月'!$A:$X,0,MATCH("cpc总费用",'拌客源数据1-8月'!$1:$1,0)),INDEX('拌客源数据1-8月'!$A:$X,0,MATCH($A$25,'拌客源数据1-8月'!$1:$1,0)),$A27,INDEX('拌客源数据1-8月'!$A:$X,0,MATCH("平台i",'拌客源数据1-8月'!$1:$1,0)),$H$1))/$C15</f>
        <v>3.2877216682630286E-2</v>
      </c>
    </row>
    <row r="28" spans="1:8" x14ac:dyDescent="0.2">
      <c r="A28" s="87">
        <f t="shared" ref="A28:A32" si="8">A27+1</f>
        <v>44015</v>
      </c>
      <c r="B28" s="88">
        <f t="shared" si="5"/>
        <v>44015</v>
      </c>
      <c r="C28" s="40">
        <f>IF($H$1="全部",SUMIF(INDEX('拌客源数据1-8月'!$A:$X,0,MATCH($A$25,'拌客源数据1-8月'!$1:$1,0)),$A28,INDEX('拌客源数据1-8月'!$A:$X,0,MATCH(C$25,'拌客源数据1-8月'!$1:$1,0))),SUMIFS(INDEX('拌客源数据1-8月'!$A:$X,0,MATCH(C$25,'拌客源数据1-8月'!$1:$1,0)),INDEX('拌客源数据1-8月'!$A:$X,0,MATCH($A$25,'拌客源数据1-8月'!$1:$1,0)),$A28,INDEX('拌客源数据1-8月'!$A:$X,0,MATCH("平台i",'拌客源数据1-8月'!$1:$1,0)),$H$1))</f>
        <v>7459</v>
      </c>
      <c r="D28" s="40">
        <f>IF($H$1="全部",SUMIF(INDEX('拌客源数据1-8月'!$A:$X,0,MATCH($A$25,'拌客源数据1-8月'!$1:$1,0)),$A28,INDEX('拌客源数据1-8月'!$A:$X,0,MATCH(D$25,'拌客源数据1-8月'!$1:$1,0))),SUMIFS(INDEX('拌客源数据1-8月'!$A:$X,0,MATCH(D$25,'拌客源数据1-8月'!$1:$1,0)),INDEX('拌客源数据1-8月'!$A:$X,0,MATCH($A$25,'拌客源数据1-8月'!$1:$1,0)),$A28,INDEX('拌客源数据1-8月'!$A:$X,0,MATCH("平台i",'拌客源数据1-8月'!$1:$1,0)),$H$1))</f>
        <v>438</v>
      </c>
      <c r="E28" s="79">
        <f t="shared" si="6"/>
        <v>5.8721008178039949E-2</v>
      </c>
      <c r="F28" s="40">
        <f>IF($H$1="全部",SUMIF(INDEX('拌客源数据1-8月'!$A:$X,0,MATCH($A$25,'拌客源数据1-8月'!$1:$1,0)),$A28,INDEX('拌客源数据1-8月'!$A:$X,0,MATCH(F$25,'拌客源数据1-8月'!$1:$1,0))),SUMIFS(INDEX('拌客源数据1-8月'!$A:$X,0,MATCH(F$25,'拌客源数据1-8月'!$1:$1,0)),INDEX('拌客源数据1-8月'!$A:$X,0,MATCH($A$25,'拌客源数据1-8月'!$1:$1,0)),$A28,INDEX('拌客源数据1-8月'!$A:$X,0,MATCH("平台i",'拌客源数据1-8月'!$1:$1,0)),$H$1))</f>
        <v>103</v>
      </c>
      <c r="G28" s="79">
        <f t="shared" si="7"/>
        <v>0.23515981735159816</v>
      </c>
      <c r="H28" s="83">
        <f>IF($H$1="全部",SUMIF(INDEX('拌客源数据1-8月'!$A:$X,0,MATCH($A$25,'拌客源数据1-8月'!$1:$1,0)),$A28,INDEX('拌客源数据1-8月'!$A:$X,0,MATCH("cpc总费用",'拌客源数据1-8月'!$1:$1,0))),SUMIFS(INDEX('拌客源数据1-8月'!$A:$X,0,MATCH("cpc总费用",'拌客源数据1-8月'!$1:$1,0)),INDEX('拌客源数据1-8月'!$A:$X,0,MATCH($A$25,'拌客源数据1-8月'!$1:$1,0)),$A28,INDEX('拌客源数据1-8月'!$A:$X,0,MATCH("平台i",'拌客源数据1-8月'!$1:$1,0)),$H$1))/$C16</f>
        <v>4.4124992432039718E-2</v>
      </c>
    </row>
    <row r="29" spans="1:8" x14ac:dyDescent="0.2">
      <c r="A29" s="87">
        <f t="shared" si="8"/>
        <v>44016</v>
      </c>
      <c r="B29" s="88">
        <f t="shared" si="5"/>
        <v>44016</v>
      </c>
      <c r="C29" s="40">
        <f>IF($H$1="全部",SUMIF(INDEX('拌客源数据1-8月'!$A:$X,0,MATCH($A$25,'拌客源数据1-8月'!$1:$1,0)),$A29,INDEX('拌客源数据1-8月'!$A:$X,0,MATCH(C$25,'拌客源数据1-8月'!$1:$1,0))),SUMIFS(INDEX('拌客源数据1-8月'!$A:$X,0,MATCH(C$25,'拌客源数据1-8月'!$1:$1,0)),INDEX('拌客源数据1-8月'!$A:$X,0,MATCH($A$25,'拌客源数据1-8月'!$1:$1,0)),$A29,INDEX('拌客源数据1-8月'!$A:$X,0,MATCH("平台i",'拌客源数据1-8月'!$1:$1,0)),$H$1))</f>
        <v>7371</v>
      </c>
      <c r="D29" s="40">
        <f>IF($H$1="全部",SUMIF(INDEX('拌客源数据1-8月'!$A:$X,0,MATCH($A$25,'拌客源数据1-8月'!$1:$1,0)),$A29,INDEX('拌客源数据1-8月'!$A:$X,0,MATCH(D$25,'拌客源数据1-8月'!$1:$1,0))),SUMIFS(INDEX('拌客源数据1-8月'!$A:$X,0,MATCH(D$25,'拌客源数据1-8月'!$1:$1,0)),INDEX('拌客源数据1-8月'!$A:$X,0,MATCH($A$25,'拌客源数据1-8月'!$1:$1,0)),$A29,INDEX('拌客源数据1-8月'!$A:$X,0,MATCH("平台i",'拌客源数据1-8月'!$1:$1,0)),$H$1))</f>
        <v>388</v>
      </c>
      <c r="E29" s="79">
        <f t="shared" si="6"/>
        <v>5.2638719305385974E-2</v>
      </c>
      <c r="F29" s="40">
        <f>IF($H$1="全部",SUMIF(INDEX('拌客源数据1-8月'!$A:$X,0,MATCH($A$25,'拌客源数据1-8月'!$1:$1,0)),$A29,INDEX('拌客源数据1-8月'!$A:$X,0,MATCH(F$25,'拌客源数据1-8月'!$1:$1,0))),SUMIFS(INDEX('拌客源数据1-8月'!$A:$X,0,MATCH(F$25,'拌客源数据1-8月'!$1:$1,0)),INDEX('拌客源数据1-8月'!$A:$X,0,MATCH($A$25,'拌客源数据1-8月'!$1:$1,0)),$A29,INDEX('拌客源数据1-8月'!$A:$X,0,MATCH("平台i",'拌客源数据1-8月'!$1:$1,0)),$H$1))</f>
        <v>85</v>
      </c>
      <c r="G29" s="79">
        <f t="shared" si="7"/>
        <v>0.21907216494845361</v>
      </c>
      <c r="H29" s="83">
        <f>IF($H$1="全部",SUMIF(INDEX('拌客源数据1-8月'!$A:$X,0,MATCH($A$25,'拌客源数据1-8月'!$1:$1,0)),$A29,INDEX('拌客源数据1-8月'!$A:$X,0,MATCH("cpc总费用",'拌客源数据1-8月'!$1:$1,0))),SUMIFS(INDEX('拌客源数据1-8月'!$A:$X,0,MATCH("cpc总费用",'拌客源数据1-8月'!$1:$1,0)),INDEX('拌客源数据1-8月'!$A:$X,0,MATCH($A$25,'拌客源数据1-8月'!$1:$1,0)),$A29,INDEX('拌客源数据1-8月'!$A:$X,0,MATCH("平台i",'拌客源数据1-8月'!$1:$1,0)),$H$1))/$C17</f>
        <v>6.0321349699953966E-2</v>
      </c>
    </row>
    <row r="30" spans="1:8" x14ac:dyDescent="0.2">
      <c r="A30" s="87">
        <f t="shared" si="8"/>
        <v>44017</v>
      </c>
      <c r="B30" s="88">
        <f t="shared" si="5"/>
        <v>44017</v>
      </c>
      <c r="C30" s="40">
        <f>IF($H$1="全部",SUMIF(INDEX('拌客源数据1-8月'!$A:$X,0,MATCH($A$25,'拌客源数据1-8月'!$1:$1,0)),$A30,INDEX('拌客源数据1-8月'!$A:$X,0,MATCH(C$25,'拌客源数据1-8月'!$1:$1,0))),SUMIFS(INDEX('拌客源数据1-8月'!$A:$X,0,MATCH(C$25,'拌客源数据1-8月'!$1:$1,0)),INDEX('拌客源数据1-8月'!$A:$X,0,MATCH($A$25,'拌客源数据1-8月'!$1:$1,0)),$A30,INDEX('拌客源数据1-8月'!$A:$X,0,MATCH("平台i",'拌客源数据1-8月'!$1:$1,0)),$H$1))</f>
        <v>7289</v>
      </c>
      <c r="D30" s="40">
        <f>IF($H$1="全部",SUMIF(INDEX('拌客源数据1-8月'!$A:$X,0,MATCH($A$25,'拌客源数据1-8月'!$1:$1,0)),$A30,INDEX('拌客源数据1-8月'!$A:$X,0,MATCH(D$25,'拌客源数据1-8月'!$1:$1,0))),SUMIFS(INDEX('拌客源数据1-8月'!$A:$X,0,MATCH(D$25,'拌客源数据1-8月'!$1:$1,0)),INDEX('拌客源数据1-8月'!$A:$X,0,MATCH($A$25,'拌客源数据1-8月'!$1:$1,0)),$A30,INDEX('拌客源数据1-8月'!$A:$X,0,MATCH("平台i",'拌客源数据1-8月'!$1:$1,0)),$H$1))</f>
        <v>429</v>
      </c>
      <c r="E30" s="79">
        <f t="shared" si="6"/>
        <v>5.8855810124845656E-2</v>
      </c>
      <c r="F30" s="40">
        <f>IF($H$1="全部",SUMIF(INDEX('拌客源数据1-8月'!$A:$X,0,MATCH($A$25,'拌客源数据1-8月'!$1:$1,0)),$A30,INDEX('拌客源数据1-8月'!$A:$X,0,MATCH(F$25,'拌客源数据1-8月'!$1:$1,0))),SUMIFS(INDEX('拌客源数据1-8月'!$A:$X,0,MATCH(F$25,'拌客源数据1-8月'!$1:$1,0)),INDEX('拌客源数据1-8月'!$A:$X,0,MATCH($A$25,'拌客源数据1-8月'!$1:$1,0)),$A30,INDEX('拌客源数据1-8月'!$A:$X,0,MATCH("平台i",'拌客源数据1-8月'!$1:$1,0)),$H$1))</f>
        <v>79</v>
      </c>
      <c r="G30" s="79">
        <f t="shared" si="7"/>
        <v>0.18414918414918416</v>
      </c>
      <c r="H30" s="83">
        <f>IF($H$1="全部",SUMIF(INDEX('拌客源数据1-8月'!$A:$X,0,MATCH($A$25,'拌客源数据1-8月'!$1:$1,0)),$A30,INDEX('拌客源数据1-8月'!$A:$X,0,MATCH("cpc总费用",'拌客源数据1-8月'!$1:$1,0))),SUMIFS(INDEX('拌客源数据1-8月'!$A:$X,0,MATCH("cpc总费用",'拌客源数据1-8月'!$1:$1,0)),INDEX('拌客源数据1-8月'!$A:$X,0,MATCH($A$25,'拌客源数据1-8月'!$1:$1,0)),$A30,INDEX('拌客源数据1-8月'!$A:$X,0,MATCH("平台i",'拌客源数据1-8月'!$1:$1,0)),$H$1))/$C18</f>
        <v>4.6993675950779426E-2</v>
      </c>
    </row>
    <row r="31" spans="1:8" x14ac:dyDescent="0.2">
      <c r="A31" s="87">
        <f t="shared" si="8"/>
        <v>44018</v>
      </c>
      <c r="B31" s="88">
        <f t="shared" si="5"/>
        <v>44018</v>
      </c>
      <c r="C31" s="40">
        <f>IF($H$1="全部",SUMIF(INDEX('拌客源数据1-8月'!$A:$X,0,MATCH($A$25,'拌客源数据1-8月'!$1:$1,0)),$A31,INDEX('拌客源数据1-8月'!$A:$X,0,MATCH(C$25,'拌客源数据1-8月'!$1:$1,0))),SUMIFS(INDEX('拌客源数据1-8月'!$A:$X,0,MATCH(C$25,'拌客源数据1-8月'!$1:$1,0)),INDEX('拌客源数据1-8月'!$A:$X,0,MATCH($A$25,'拌客源数据1-8月'!$1:$1,0)),$A31,INDEX('拌客源数据1-8月'!$A:$X,0,MATCH("平台i",'拌客源数据1-8月'!$1:$1,0)),$H$1))</f>
        <v>2263</v>
      </c>
      <c r="D31" s="40">
        <f>IF($H$1="全部",SUMIF(INDEX('拌客源数据1-8月'!$A:$X,0,MATCH($A$25,'拌客源数据1-8月'!$1:$1,0)),$A31,INDEX('拌客源数据1-8月'!$A:$X,0,MATCH(D$25,'拌客源数据1-8月'!$1:$1,0))),SUMIFS(INDEX('拌客源数据1-8月'!$A:$X,0,MATCH(D$25,'拌客源数据1-8月'!$1:$1,0)),INDEX('拌客源数据1-8月'!$A:$X,0,MATCH($A$25,'拌客源数据1-8月'!$1:$1,0)),$A31,INDEX('拌客源数据1-8月'!$A:$X,0,MATCH("平台i",'拌客源数据1-8月'!$1:$1,0)),$H$1))</f>
        <v>160</v>
      </c>
      <c r="E31" s="79">
        <f t="shared" si="6"/>
        <v>7.0702607158638978E-2</v>
      </c>
      <c r="F31" s="40">
        <f>IF($H$1="全部",SUMIF(INDEX('拌客源数据1-8月'!$A:$X,0,MATCH($A$25,'拌客源数据1-8月'!$1:$1,0)),$A31,INDEX('拌客源数据1-8月'!$A:$X,0,MATCH(F$25,'拌客源数据1-8月'!$1:$1,0))),SUMIFS(INDEX('拌客源数据1-8月'!$A:$X,0,MATCH(F$25,'拌客源数据1-8月'!$1:$1,0)),INDEX('拌客源数据1-8月'!$A:$X,0,MATCH($A$25,'拌客源数据1-8月'!$1:$1,0)),$A31,INDEX('拌客源数据1-8月'!$A:$X,0,MATCH("平台i",'拌客源数据1-8月'!$1:$1,0)),$H$1))</f>
        <v>34</v>
      </c>
      <c r="G31" s="79">
        <f t="shared" si="7"/>
        <v>0.21249999999999999</v>
      </c>
      <c r="H31" s="83">
        <f>IF($H$1="全部",SUMIF(INDEX('拌客源数据1-8月'!$A:$X,0,MATCH($A$25,'拌客源数据1-8月'!$1:$1,0)),$A31,INDEX('拌客源数据1-8月'!$A:$X,0,MATCH("cpc总费用",'拌客源数据1-8月'!$1:$1,0))),SUMIFS(INDEX('拌客源数据1-8月'!$A:$X,0,MATCH("cpc总费用",'拌客源数据1-8月'!$1:$1,0)),INDEX('拌客源数据1-8月'!$A:$X,0,MATCH($A$25,'拌客源数据1-8月'!$1:$1,0)),$A31,INDEX('拌客源数据1-8月'!$A:$X,0,MATCH("平台i",'拌客源数据1-8月'!$1:$1,0)),$H$1))/$C19</f>
        <v>3.3627553108374564E-2</v>
      </c>
    </row>
    <row r="32" spans="1:8" ht="15" thickBot="1" x14ac:dyDescent="0.25">
      <c r="A32" s="90">
        <f t="shared" si="8"/>
        <v>44019</v>
      </c>
      <c r="B32" s="91">
        <f t="shared" si="5"/>
        <v>44019</v>
      </c>
      <c r="C32" s="95">
        <f>IF($H$1="全部",SUMIF(INDEX('拌客源数据1-8月'!$A:$X,0,MATCH($A$25,'拌客源数据1-8月'!$1:$1,0)),$A32,INDEX('拌客源数据1-8月'!$A:$X,0,MATCH(C$25,'拌客源数据1-8月'!$1:$1,0))),SUMIFS(INDEX('拌客源数据1-8月'!$A:$X,0,MATCH(C$25,'拌客源数据1-8月'!$1:$1,0)),INDEX('拌客源数据1-8月'!$A:$X,0,MATCH($A$25,'拌客源数据1-8月'!$1:$1,0)),$A32,INDEX('拌客源数据1-8月'!$A:$X,0,MATCH("平台i",'拌客源数据1-8月'!$1:$1,0)),$H$1))</f>
        <v>5970</v>
      </c>
      <c r="D32" s="95">
        <f>IF($H$1="全部",SUMIF(INDEX('拌客源数据1-8月'!$A:$X,0,MATCH($A$25,'拌客源数据1-8月'!$1:$1,0)),$A32,INDEX('拌客源数据1-8月'!$A:$X,0,MATCH(D$25,'拌客源数据1-8月'!$1:$1,0))),SUMIFS(INDEX('拌客源数据1-8月'!$A:$X,0,MATCH(D$25,'拌客源数据1-8月'!$1:$1,0)),INDEX('拌客源数据1-8月'!$A:$X,0,MATCH($A$25,'拌客源数据1-8月'!$1:$1,0)),$A32,INDEX('拌客源数据1-8月'!$A:$X,0,MATCH("平台i",'拌客源数据1-8月'!$1:$1,0)),$H$1))</f>
        <v>356</v>
      </c>
      <c r="E32" s="93">
        <f t="shared" si="6"/>
        <v>5.9631490787269682E-2</v>
      </c>
      <c r="F32" s="95">
        <f>IF($H$1="全部",SUMIF(INDEX('拌客源数据1-8月'!$A:$X,0,MATCH($A$25,'拌客源数据1-8月'!$1:$1,0)),$A32,INDEX('拌客源数据1-8月'!$A:$X,0,MATCH(F$25,'拌客源数据1-8月'!$1:$1,0))),SUMIFS(INDEX('拌客源数据1-8月'!$A:$X,0,MATCH(F$25,'拌客源数据1-8月'!$1:$1,0)),INDEX('拌客源数据1-8月'!$A:$X,0,MATCH($A$25,'拌客源数据1-8月'!$1:$1,0)),$A32,INDEX('拌客源数据1-8月'!$A:$X,0,MATCH("平台i",'拌客源数据1-8月'!$1:$1,0)),$H$1))</f>
        <v>86</v>
      </c>
      <c r="G32" s="93">
        <f t="shared" si="7"/>
        <v>0.24157303370786518</v>
      </c>
      <c r="H32" s="96">
        <f>IF($H$1="全部",SUMIF(INDEX('拌客源数据1-8月'!$A:$X,0,MATCH($A$25,'拌客源数据1-8月'!$1:$1,0)),$A32,INDEX('拌客源数据1-8月'!$A:$X,0,MATCH("cpc总费用",'拌客源数据1-8月'!$1:$1,0))),SUMIFS(INDEX('拌客源数据1-8月'!$A:$X,0,MATCH("cpc总费用",'拌客源数据1-8月'!$1:$1,0)),INDEX('拌客源数据1-8月'!$A:$X,0,MATCH($A$25,'拌客源数据1-8月'!$1:$1,0)),$A32,INDEX('拌客源数据1-8月'!$A:$X,0,MATCH("平台i",'拌客源数据1-8月'!$1:$1,0)),$H$1))/$C20</f>
        <v>5.0154154187767988E-2</v>
      </c>
    </row>
    <row r="33" spans="1:8" x14ac:dyDescent="0.2">
      <c r="A33" s="99" t="s">
        <v>168</v>
      </c>
      <c r="C33" s="40">
        <f>SUM(C26:C32)</f>
        <v>45334</v>
      </c>
      <c r="D33" s="40">
        <f t="shared" ref="D33:F33" si="9">SUM(D26:D32)</f>
        <v>2661</v>
      </c>
      <c r="E33" s="79">
        <f>D33/C33</f>
        <v>5.8697666210791019E-2</v>
      </c>
      <c r="F33" s="40">
        <f t="shared" si="9"/>
        <v>628</v>
      </c>
      <c r="G33" s="79">
        <f>F33/D33</f>
        <v>0.23600150319428786</v>
      </c>
      <c r="H33" s="79">
        <f>IF(H1="全部",SUMIFS(INDEX('拌客源数据1-8月'!A:X,0,MATCH("cpc总费用",'拌客源数据1-8月'!1:1,0)),'拌客源数据1-8月'!A:A,"&gt;="&amp;A26,'拌客源数据1-8月'!A:A,"&lt;="&amp;A32),SUMIFS(INDEX('拌客源数据1-8月'!A:X,0,MATCH("cpc总费用",'拌客源数据1-8月'!1:1,0)),'拌客源数据1-8月'!A:A,"&gt;="&amp;A26,'拌客源数据1-8月'!A:A,"&lt;="&amp;A32,'拌客源数据1-8月'!H:H,H1))/C21</f>
        <v>4.3448670585207072E-2</v>
      </c>
    </row>
  </sheetData>
  <mergeCells count="3">
    <mergeCell ref="G2:H2"/>
    <mergeCell ref="G3:H3"/>
    <mergeCell ref="A2:F3"/>
  </mergeCells>
  <phoneticPr fontId="18" type="noConversion"/>
  <conditionalFormatting sqref="G3:H3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{50C2562C-B9C8-4D32-A702-631DE2D23437}</x14:id>
        </ext>
      </extLst>
    </cfRule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{A29F9E21-978B-49E4-AAE1-48325C52E1FF}</x14:id>
        </ext>
      </extLst>
    </cfRule>
  </conditionalFormatting>
  <dataValidations count="1">
    <dataValidation type="list" allowBlank="1" showInputMessage="1" showErrorMessage="1" sqref="H1" xr:uid="{CD7F9BA3-46D1-449E-9C20-9BFC21BDB32C}">
      <formula1>"全部,美团,饿了么"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F96CB248-9B53-492B-A443-990C6E9C633A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F9 D9 B9</xm:sqref>
        </x14:conditionalFormatting>
        <x14:conditionalFormatting xmlns:xm="http://schemas.microsoft.com/office/excel/2006/main">
          <x14:cfRule type="dataBar" id="{50C2562C-B9C8-4D32-A702-631DE2D234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29F9E21-978B-49E4-AAE1-48325C52E1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G3:H3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F848B2F-5889-44DA-BC19-BF950BDFE29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数据周报!C26:C32</xm:f>
              <xm:sqref>B6</xm:sqref>
            </x14:sparkline>
          </x14:sparklines>
        </x14:sparklineGroup>
        <x14:sparklineGroup displayEmptyCellsAs="gap" markers="1" xr2:uid="{A64A1223-08D1-44A5-B176-CB5FF24AA7F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数据周报!E26:E32</xm:f>
              <xm:sqref>D6</xm:sqref>
            </x14:sparkline>
          </x14:sparklines>
        </x14:sparklineGroup>
        <x14:sparklineGroup displayEmptyCellsAs="gap" markers="1" xr2:uid="{C0C8B3C8-906A-4331-B444-AB8B0D78AE2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数据周报!G26:G32</xm:f>
              <xm:sqref>F6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 codeName="Sheet8">
    <tabColor theme="9" tint="0.39997558519241921"/>
  </sheetPr>
  <dimension ref="A1:X562"/>
  <sheetViews>
    <sheetView workbookViewId="0"/>
  </sheetViews>
  <sheetFormatPr defaultRowHeight="14.25" x14ac:dyDescent="0.2"/>
  <cols>
    <col min="1" max="1" width="10.5" style="1" bestFit="1" customWidth="1"/>
    <col min="3" max="3" width="23.5" bestFit="1" customWidth="1"/>
    <col min="4" max="4" width="11.625" bestFit="1" customWidth="1"/>
    <col min="5" max="5" width="24.5" bestFit="1" customWidth="1"/>
    <col min="9" max="9" width="30.125" customWidth="1"/>
    <col min="10" max="10" width="8.875" customWidth="1"/>
    <col min="11" max="11" width="10.25" customWidth="1"/>
    <col min="12" max="14" width="12.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2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2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2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2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2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2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2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2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2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2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2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2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2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2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2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2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2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2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2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2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2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2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2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2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2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2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2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2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2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2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2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2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2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2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2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2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2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2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2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2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2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2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2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2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2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2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2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2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2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2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2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2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2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2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2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2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2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2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2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2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2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2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2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2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2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2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2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2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2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2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2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2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2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2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2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2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2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2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2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2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2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2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2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2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2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2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2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2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2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2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2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2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2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2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2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2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2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2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2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2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2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2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2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2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2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2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2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2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2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2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2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2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2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2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2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2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2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2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2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2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2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2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2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2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2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2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2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2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2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2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2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2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2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2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2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2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2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2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2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2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2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2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2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2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2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2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2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2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2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2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2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2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2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2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2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2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2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2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2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2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2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2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2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2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2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2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2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2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2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2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2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2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2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2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2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2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2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2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2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2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2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2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2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2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2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2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2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2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2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2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2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2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2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2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2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2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2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2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2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2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2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2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2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2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2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2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2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2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2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2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2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2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2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2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2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2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2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2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2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2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2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2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2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2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2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2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2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2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2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2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2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2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2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2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2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2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2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2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2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2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2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2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2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2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2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2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2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2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2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2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2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2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2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2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2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2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2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2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2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2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2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2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2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2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2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2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2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2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拌客源数据1-8月</vt:lpstr>
      <vt:lpstr>常用函数-练习版</vt:lpstr>
      <vt:lpstr>常用函数-完成版</vt:lpstr>
      <vt:lpstr>数据透视图表-完成版</vt:lpstr>
      <vt:lpstr>大厂周报-完成版</vt:lpstr>
      <vt:lpstr>大厂周报-练习版</vt:lpstr>
      <vt:lpstr>数据周报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天乐 辰</cp:lastModifiedBy>
  <dcterms:created xsi:type="dcterms:W3CDTF">2021-06-18T07:16:56Z</dcterms:created>
  <dcterms:modified xsi:type="dcterms:W3CDTF">2025-09-02T19:06:40Z</dcterms:modified>
</cp:coreProperties>
</file>